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 autoCompressPictures="0"/>
  <mc:AlternateContent xmlns:mc="http://schemas.openxmlformats.org/markup-compatibility/2006">
    <mc:Choice Requires="x15">
      <x15ac:absPath xmlns:x15ac="http://schemas.microsoft.com/office/spreadsheetml/2010/11/ac" url="C:\inetpub\wwwroot\imperialpools\info\distribution\chem\other\docs\"/>
    </mc:Choice>
  </mc:AlternateContent>
  <xr:revisionPtr revIDLastSave="0" documentId="8_{FA092FBA-D9A5-48AE-8883-B1CC54B21EEB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Chemical Yields" sheetId="5" r:id="rId1"/>
    <sheet name="LSI" sheetId="8" r:id="rId2"/>
    <sheet name="Hazard Management" sheetId="7" r:id="rId3"/>
    <sheet name="calculation sheet" sheetId="2" r:id="rId4"/>
    <sheet name="Chlorine Conversion Chart" sheetId="6" r:id="rId5"/>
    <sheet name="SALT CHART" sheetId="4" state="hidden" r:id="rId6"/>
  </sheets>
  <definedNames>
    <definedName name="_xlnm.Print_Area" localSheetId="0">'Chemical Yields'!$B$1:$J$50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10" i="8" l="1"/>
  <c r="O11" i="8"/>
  <c r="O22" i="8"/>
  <c r="L10" i="8"/>
  <c r="L11" i="8"/>
  <c r="L12" i="8"/>
  <c r="L13" i="8"/>
  <c r="L14" i="8"/>
  <c r="L15" i="8"/>
  <c r="L16" i="8"/>
  <c r="L17" i="8"/>
  <c r="L18" i="8"/>
  <c r="L19" i="8"/>
  <c r="L20" i="8"/>
  <c r="L22" i="8"/>
  <c r="I10" i="8"/>
  <c r="I11" i="8"/>
  <c r="I12" i="8"/>
  <c r="I13" i="8"/>
  <c r="I14" i="8"/>
  <c r="I15" i="8"/>
  <c r="I16" i="8"/>
  <c r="I17" i="8"/>
  <c r="I18" i="8"/>
  <c r="I19" i="8"/>
  <c r="I20" i="8"/>
  <c r="I22" i="8"/>
  <c r="F10" i="8"/>
  <c r="F11" i="8"/>
  <c r="F12" i="8"/>
  <c r="F13" i="8"/>
  <c r="F14" i="8"/>
  <c r="F15" i="8"/>
  <c r="F16" i="8"/>
  <c r="F17" i="8"/>
  <c r="F18" i="8"/>
  <c r="F19" i="8"/>
  <c r="F22" i="8"/>
  <c r="K5" i="8"/>
  <c r="J41" i="5"/>
  <c r="L26" i="5"/>
  <c r="L25" i="5"/>
  <c r="L24" i="5"/>
  <c r="R32" i="5"/>
  <c r="T32" i="5"/>
  <c r="R31" i="5"/>
  <c r="T31" i="5"/>
  <c r="J36" i="5"/>
  <c r="J37" i="5"/>
  <c r="R20" i="5"/>
  <c r="T20" i="5"/>
  <c r="Q29" i="7"/>
  <c r="O29" i="7"/>
  <c r="K29" i="7"/>
  <c r="Q30" i="7"/>
  <c r="O30" i="7"/>
  <c r="K30" i="7"/>
  <c r="Q13" i="7"/>
  <c r="O13" i="7"/>
  <c r="Q14" i="7"/>
  <c r="O14" i="7"/>
  <c r="Q15" i="7"/>
  <c r="O15" i="7"/>
  <c r="K13" i="7"/>
  <c r="K14" i="7"/>
  <c r="K15" i="7"/>
  <c r="R17" i="5"/>
  <c r="T17" i="5"/>
  <c r="R18" i="5"/>
  <c r="T18" i="5"/>
  <c r="R19" i="5"/>
  <c r="T19" i="5"/>
  <c r="R10" i="5"/>
  <c r="T10" i="5"/>
  <c r="R11" i="5"/>
  <c r="T11" i="5"/>
  <c r="R12" i="5"/>
  <c r="T12" i="5"/>
  <c r="R13" i="5"/>
  <c r="T13" i="5"/>
  <c r="R14" i="5"/>
  <c r="T14" i="5"/>
  <c r="R16" i="5"/>
  <c r="T16" i="5"/>
  <c r="J15" i="5"/>
  <c r="N15" i="5"/>
  <c r="R15" i="5"/>
  <c r="T15" i="5"/>
  <c r="J16" i="5"/>
  <c r="J10" i="5"/>
  <c r="J11" i="5"/>
  <c r="J12" i="5"/>
  <c r="E8" i="2"/>
  <c r="D12" i="2"/>
  <c r="D14" i="2"/>
  <c r="D17" i="2"/>
  <c r="D27" i="2"/>
  <c r="D32" i="2"/>
  <c r="J27" i="5"/>
  <c r="J24" i="5"/>
  <c r="J26" i="5"/>
  <c r="J25" i="5"/>
  <c r="J18" i="5"/>
  <c r="J17" i="5"/>
  <c r="J13" i="5"/>
  <c r="D39" i="2"/>
  <c r="D42" i="2"/>
  <c r="D41" i="2"/>
  <c r="D30" i="2"/>
  <c r="D29" i="2"/>
  <c r="D31" i="2"/>
  <c r="D18" i="2"/>
  <c r="D16" i="2"/>
  <c r="D20" i="2"/>
  <c r="D19" i="2"/>
  <c r="B24" i="4"/>
  <c r="C24" i="4"/>
</calcChain>
</file>

<file path=xl/sharedStrings.xml><?xml version="1.0" encoding="utf-8"?>
<sst xmlns="http://schemas.openxmlformats.org/spreadsheetml/2006/main" count="419" uniqueCount="259">
  <si>
    <t>FREE CHLORINE</t>
  </si>
  <si>
    <t>TOTAL CHLORINE</t>
  </si>
  <si>
    <t>Cal Hypo (68%)</t>
  </si>
  <si>
    <t>ounces</t>
  </si>
  <si>
    <t>Sodium Hypo (12%)</t>
  </si>
  <si>
    <t>fluid ounces</t>
  </si>
  <si>
    <t>pound</t>
  </si>
  <si>
    <t>gallons</t>
  </si>
  <si>
    <t>Chlorine Require to Hit Break Point</t>
  </si>
  <si>
    <t>DiChlor (62%)</t>
  </si>
  <si>
    <t>DiChlor (56%)</t>
  </si>
  <si>
    <t>POOL GALLONS</t>
  </si>
  <si>
    <t>COMBINED CHLORINE</t>
  </si>
  <si>
    <t>TOTAL ALKALINITY</t>
  </si>
  <si>
    <t>Sodium Carbonate</t>
  </si>
  <si>
    <t>Sodium Bicarbonate</t>
  </si>
  <si>
    <t>Sodium Sesquicarbonate</t>
  </si>
  <si>
    <t>pounds</t>
  </si>
  <si>
    <t>Target Alkalinity</t>
  </si>
  <si>
    <t>Desired Alkalinity Change</t>
  </si>
  <si>
    <t>Calcium Chloride (100%)</t>
  </si>
  <si>
    <t>Calcium Chloride (77%)</t>
  </si>
  <si>
    <t>TOTAL HARDNESS</t>
  </si>
  <si>
    <t>Target Hardness</t>
  </si>
  <si>
    <t>1 ppm</t>
  </si>
  <si>
    <t>5 ppm</t>
  </si>
  <si>
    <t>10 ppm</t>
  </si>
  <si>
    <t>13 oz</t>
  </si>
  <si>
    <t>10 oz</t>
  </si>
  <si>
    <t>1.3 lb</t>
  </si>
  <si>
    <t>Sodium Hypochlorite (12%)</t>
  </si>
  <si>
    <t>10.7 fl.oz.</t>
  </si>
  <si>
    <t>1.7 qts</t>
  </si>
  <si>
    <t>3.3 qts</t>
  </si>
  <si>
    <t>1.2 lbs</t>
  </si>
  <si>
    <t>Dichlor (62%)</t>
  </si>
  <si>
    <t>2.1 oz</t>
  </si>
  <si>
    <t>10.75 oz</t>
  </si>
  <si>
    <t>1.3 lbs</t>
  </si>
  <si>
    <t>Dichlor (56%)</t>
  </si>
  <si>
    <t>2.4 oz</t>
  </si>
  <si>
    <t>12 oz</t>
  </si>
  <si>
    <t>1.4 lbs</t>
  </si>
  <si>
    <t>Trichlor</t>
  </si>
  <si>
    <t>1.5 oz</t>
  </si>
  <si>
    <t>7.5 oz</t>
  </si>
  <si>
    <t>14 oz</t>
  </si>
  <si>
    <t>Increase Total Alkalinity</t>
  </si>
  <si>
    <t>30 ppm</t>
  </si>
  <si>
    <t>50 ppm</t>
  </si>
  <si>
    <t>4.2 lbs</t>
  </si>
  <si>
    <t>7.0 lbs</t>
  </si>
  <si>
    <t>2.6 lbs</t>
  </si>
  <si>
    <t>4.4 lbs</t>
  </si>
  <si>
    <t>1.25 lbs</t>
  </si>
  <si>
    <t>3.75 lbs</t>
  </si>
  <si>
    <t>6.25 lbs</t>
  </si>
  <si>
    <t>Decrease Total Alkalinity</t>
  </si>
  <si>
    <t>26 fl.oz.</t>
  </si>
  <si>
    <t>2.4 qts</t>
  </si>
  <si>
    <t>1 gal</t>
  </si>
  <si>
    <t>Sodium Bisulfate</t>
  </si>
  <si>
    <t>2.1 lbs</t>
  </si>
  <si>
    <t>6.4 lbs</t>
  </si>
  <si>
    <t>10.5 lbs</t>
  </si>
  <si>
    <t>Increase Calcium Hardness**</t>
  </si>
  <si>
    <t>0.9 lbs</t>
  </si>
  <si>
    <t>2.8 lbs</t>
  </si>
  <si>
    <t>4.6 lbs</t>
  </si>
  <si>
    <t>3.6 lbs</t>
  </si>
  <si>
    <t>6.0 lbs</t>
  </si>
  <si>
    <t>Increase Stabilizer</t>
  </si>
  <si>
    <t>Cyanuric Acid***</t>
  </si>
  <si>
    <t>2.5 lbs</t>
  </si>
  <si>
    <t>4.1 lbs</t>
  </si>
  <si>
    <t>Neutralize Chlorine</t>
  </si>
  <si>
    <t>Sodium Thiosulfate</t>
  </si>
  <si>
    <t>2.6 oz</t>
  </si>
  <si>
    <t>26 oz</t>
  </si>
  <si>
    <t>Sodium Sulfite</t>
  </si>
  <si>
    <t>1.5 lbs</t>
  </si>
  <si>
    <t>1 gallon</t>
  </si>
  <si>
    <t>1 lbs</t>
  </si>
  <si>
    <t>Calcium Hypochlorite (67%)</t>
  </si>
  <si>
    <t>25 lbs</t>
  </si>
  <si>
    <t>IN 20,000 GALLON POOL</t>
  </si>
  <si>
    <t>Adjust Chlorine</t>
  </si>
  <si>
    <t>Sodium Hydrogen Carbonate</t>
  </si>
  <si>
    <t>Calcium Hypochlorite (73%)</t>
  </si>
  <si>
    <t>2.01 lbs</t>
  </si>
  <si>
    <t>3.35 lbs</t>
  </si>
  <si>
    <t>10.67 oz</t>
  </si>
  <si>
    <t>Cal Hypo (73%)</t>
  </si>
  <si>
    <t>APPROXIMATE PPM YIELD</t>
  </si>
  <si>
    <t>Calcium Hypochlorite (65%)</t>
  </si>
  <si>
    <t>Calcium Hypochlorite (48%)</t>
  </si>
  <si>
    <t>Calcium Hypochlorite (53%)</t>
  </si>
  <si>
    <t>5 gallons</t>
  </si>
  <si>
    <t>1.34 LBS</t>
  </si>
  <si>
    <t>1.92 LBS</t>
  </si>
  <si>
    <t>2.17 LBS</t>
  </si>
  <si>
    <t>1.85 LBS</t>
  </si>
  <si>
    <t>3.44 LBS</t>
  </si>
  <si>
    <t>Soium Dichloro-isocyanurate (60% Available Chlorine)</t>
  </si>
  <si>
    <t>Trichloroiso-Cyanuric Acid (90% Available Chlorine)</t>
  </si>
  <si>
    <t>Calcium Hypochlorite (65% Available Chlorine)</t>
  </si>
  <si>
    <t>Sodium Dichloroiso-cyanurate dihydrate (56% Available Chlorine)</t>
  </si>
  <si>
    <t>Lithium Hypochlorite (35% Available Chlorine)</t>
  </si>
  <si>
    <t>Exerpts from NFPA 430</t>
  </si>
  <si>
    <t>4.1 Hazard management</t>
  </si>
  <si>
    <t>4.1.1.1</t>
  </si>
  <si>
    <t>Shall provide written notification to the authority having jurisdiction</t>
  </si>
  <si>
    <t>4.1.2</t>
  </si>
  <si>
    <t>No new or existing facility shall store materials in any occupancy</t>
  </si>
  <si>
    <t>Over 36,000lbs for Class 1</t>
  </si>
  <si>
    <t>Over 4,500lbs for Class 2</t>
  </si>
  <si>
    <t>Over 2,300lbs Class 3</t>
  </si>
  <si>
    <t>Until a Hazardous Materials Management Plan (HMMP) has been completed and submitted</t>
  </si>
  <si>
    <t>to the authority having jurisdiction</t>
  </si>
  <si>
    <t>4.1.2.1</t>
  </si>
  <si>
    <t>The HMMP shall be reiewed and updated annually and when the facility is modified</t>
  </si>
  <si>
    <t>9.3.1</t>
  </si>
  <si>
    <t>The quantity of oxidizing materials permitted in a mercantile occupancy or storage</t>
  </si>
  <si>
    <t>occupancy shall not exceed the quantities given in Table 9.3.1 for either nonsprinklered or</t>
  </si>
  <si>
    <t>sprinklered areas, whichever is applicable.</t>
  </si>
  <si>
    <t>in Mercantile and Storage Occupancies</t>
  </si>
  <si>
    <t>Class of Material</t>
  </si>
  <si>
    <t>Weight Nonsprinklered</t>
  </si>
  <si>
    <t>lbs</t>
  </si>
  <si>
    <t>Table 9.3.1 Maximum Quantity of Oxidizers Allowed</t>
  </si>
  <si>
    <t>Unlimited</t>
  </si>
  <si>
    <t>Weight sprinklered</t>
  </si>
  <si>
    <t>Class 1 Oxidizers</t>
  </si>
  <si>
    <t>Hydrogen peroxide solutions (greater than 8 percent up to 27.5 percent)</t>
  </si>
  <si>
    <t>Lithium hypochlorite (39 percent or less available chlorine)</t>
  </si>
  <si>
    <t>Sodium dichloro-s-triazinetrione dihydrate (sodium dicholorisocyanurate dihydrate)</t>
  </si>
  <si>
    <t>Trichloro-s-triazinetrione [trichloroisocyanuric acid (TCCA; trichlor), all physical forms]</t>
  </si>
  <si>
    <t>Class 2 Oxidizers</t>
  </si>
  <si>
    <t>1-Bromo-3-chloro-5,5-dimethylhydantoin (BCDMH)</t>
  </si>
  <si>
    <t>Calcium hypochlorite (50 percent or less by weight)</t>
  </si>
  <si>
    <t>Hydrogen peroxide (greater than 27.5 percent up to 52 percent)</t>
  </si>
  <si>
    <t>Lithium hypochlorite (more than 39 percent available chlorine)</t>
  </si>
  <si>
    <t>Class 3 Oxidizers</t>
  </si>
  <si>
    <t>Calcium hypochlorite (over 50 percent by weight)</t>
  </si>
  <si>
    <t>Hydrogen peroxide solutions (greater than 52 percent up to 91 percent)</t>
  </si>
  <si>
    <t xml:space="preserve">Sodium dichloro-s-triazinetrione anhydrous (sodium dichloroisocyanurate anhydrous) </t>
  </si>
  <si>
    <t>D.1</t>
  </si>
  <si>
    <t>Pool chemicals oxidizers and sanitizers are one of the most widely used, manufactured, and</t>
  </si>
  <si>
    <t>distributed oxidizers. Anyone handling or using swimming pool chemicals should be fully</t>
  </si>
  <si>
    <t>aware of proper storage and handling requirements, as well as emergency and first-aid</t>
  </si>
  <si>
    <t>procedures in case of an accident. Chlorinated pool chemicals are incompatible with many</t>
  </si>
  <si>
    <t>chemicals associated with pool care, including algaecides, pool conditioners (stabilizers),</t>
  </si>
  <si>
    <t>clarifiers, and other types of chlorine. It is essential to follow all storage and handling</t>
  </si>
  <si>
    <t>procedures in order to prevent conditions that might cause emergencies, such as a fire or</t>
  </si>
  <si>
    <t>explosion. This section includes specific information on pool chemicals oxidizers.</t>
  </si>
  <si>
    <t>Calcium hypochlorite (cal hypo), lithium hypochlorite, and chlorinated isocyanurates (dichlor</t>
  </si>
  <si>
    <t>and trichlor) are not combustibles. They are oxidizers. This means that some oxidizers can</t>
  </si>
  <si>
    <t>cause the spontaneous ignition and increase the burning rate of combustible materials,</t>
  </si>
  <si>
    <t>including the majority of their packaging material. Oxidizers decompose rapidly and undergo</t>
  </si>
  <si>
    <t>self-sustained decomposition, which can result in an intense fire or explosion. The</t>
  </si>
  <si>
    <t>decomposition of dry chlorinated pool chemicals can also produce toxic and corrosive gases.</t>
  </si>
  <si>
    <t>Because of the composition and properties of calcium hypochlorite, lithium hypochlorite, and</t>
  </si>
  <si>
    <t>chlorinated isocyanurates, special precautions are required to prevent contact and reaction with</t>
  </si>
  <si>
    <t>each other and other chemicals. Reactions will occur if they are physically mixed together.</t>
  </si>
  <si>
    <t>decomposes above 177°C (350°F). The decomposition will generate oxygen and heat, possibly</t>
  </si>
  <si>
    <t>resulting in a fire of great intensity if combustible materials are present. Direct exposure fire</t>
  </si>
  <si>
    <t>could cause the materials to decompose, the container to erupt, and the fire to reach vastly</t>
  </si>
  <si>
    <t>higher levels of intensity. Decomposition leaves an inert residue consisting mainly of calcium</t>
  </si>
  <si>
    <t>chloride. Cal hypo (over 50% by weight) is classified as a Class 3 oxidizer. Cal hypo (50% or</t>
  </si>
  <si>
    <t>less by weight) is classified as a Class 2 oxidizer.</t>
  </si>
  <si>
    <t>oxygen, lithium hydroxide, lithium chlorates, and hazardous gases. Contamination with</t>
  </si>
  <si>
    <t>moisture, organic matter, or other chemicals may start a chemical reaction that generates heat,</t>
  </si>
  <si>
    <t>hazardous gases, fire, and explosion. Lithium hypochlorite (available chlorine of 39% or less)</t>
  </si>
  <si>
    <t>is classified as a Class 1 oxidizer. Lithium hypochlorite (more than 39% available chlorine) is</t>
  </si>
  <si>
    <t>classified as a Class 2 oxidizer.</t>
  </si>
  <si>
    <t>dichlor. It decomposes in the range of 220°C to 250°C (428°F to 482°F) and can generate</t>
  </si>
  <si>
    <t>enough heat to ignite items such as paper and wood. Dichlors will sustain thermal</t>
  </si>
  <si>
    <t>decomposition above 220°C (428°F), even in the absence of oxygen. Decomposition results in</t>
  </si>
  <si>
    <t>decomposes in the range of 220°C to 250°C (428°F to 482°F). Decomposition of trichlor</t>
  </si>
  <si>
    <t>requires a continuous source of heat. Once the heat source is removed, trichlor will not</t>
  </si>
  <si>
    <t>continue to decompose. Partial decomposition leaves a yellow or brown residue. Complete</t>
  </si>
  <si>
    <t>decomposition leaves only traces of residue. Trichlor is classified by NFPA as a Class 1</t>
  </si>
  <si>
    <t>oxidizer.</t>
  </si>
  <si>
    <t>D.1.1</t>
  </si>
  <si>
    <t>Calcium Hypochlorite. Calcium hypochlorite, commonly known as cal hypo,</t>
  </si>
  <si>
    <t>D.1.2</t>
  </si>
  <si>
    <t>D.1.3</t>
  </si>
  <si>
    <t>D.1.4</t>
  </si>
  <si>
    <t>Handling Swimming Pool Chemicals</t>
  </si>
  <si>
    <r>
      <rPr>
        <b/>
        <sz val="11"/>
        <color theme="1"/>
        <rFont val="Calibri"/>
        <family val="2"/>
        <scheme val="minor"/>
      </rPr>
      <t>Lithium Hypochlorite</t>
    </r>
    <r>
      <rPr>
        <sz val="11"/>
        <color theme="1"/>
        <rFont val="Calibri"/>
        <family val="2"/>
        <scheme val="minor"/>
      </rPr>
      <t>. Lithium hypochlorite decomposes at 135°C (275°F), producing</t>
    </r>
  </si>
  <si>
    <r>
      <rPr>
        <b/>
        <sz val="11"/>
        <color theme="1"/>
        <rFont val="Calibri"/>
        <family val="2"/>
        <scheme val="minor"/>
      </rPr>
      <t>Sodium Dichloroisocyanurate</t>
    </r>
    <r>
      <rPr>
        <sz val="11"/>
        <color theme="1"/>
        <rFont val="Calibri"/>
        <family val="2"/>
        <scheme val="minor"/>
      </rPr>
      <t>. Sodium dichloroisocyanurate is commonly known as</t>
    </r>
  </si>
  <si>
    <r>
      <rPr>
        <b/>
        <sz val="11"/>
        <color theme="1"/>
        <rFont val="Calibri"/>
        <family val="2"/>
        <scheme val="minor"/>
      </rPr>
      <t>Dichlor dihydrate</t>
    </r>
    <r>
      <rPr>
        <sz val="11"/>
        <color theme="1"/>
        <rFont val="Calibri"/>
        <family val="2"/>
        <scheme val="minor"/>
      </rPr>
      <t xml:space="preserve"> is classified by NFPA as a Class 1 oxidizer.</t>
    </r>
  </si>
  <si>
    <r>
      <t xml:space="preserve">a yellow or brown porous inert residue. </t>
    </r>
    <r>
      <rPr>
        <b/>
        <sz val="11"/>
        <color theme="1"/>
        <rFont val="Calibri"/>
        <family val="2"/>
        <scheme val="minor"/>
      </rPr>
      <t>Anhydrous dichlor</t>
    </r>
    <r>
      <rPr>
        <sz val="11"/>
        <color theme="1"/>
        <rFont val="Calibri"/>
        <family val="2"/>
        <scheme val="minor"/>
      </rPr>
      <t xml:space="preserve"> is classified as a Class 3 oxidizer.</t>
    </r>
  </si>
  <si>
    <r>
      <rPr>
        <b/>
        <sz val="11"/>
        <color theme="1"/>
        <rFont val="Calibri"/>
        <family val="2"/>
        <scheme val="minor"/>
      </rPr>
      <t>Trichloroisocyanuric Acid</t>
    </r>
    <r>
      <rPr>
        <sz val="11"/>
        <color theme="1"/>
        <rFont val="Calibri"/>
        <family val="2"/>
        <scheme val="minor"/>
      </rPr>
      <t>. Trichloroisocyanuric acid is commonly known as trichlor. It</t>
    </r>
  </si>
  <si>
    <t>All new or existing facilitities handling or store oxidizers greater than:</t>
  </si>
  <si>
    <t>4,000lbs for Class 1</t>
  </si>
  <si>
    <t>1,000lbs for Class 2</t>
  </si>
  <si>
    <t>200lbs for Class 3</t>
  </si>
  <si>
    <t>10lbs for Class 4</t>
  </si>
  <si>
    <t>2.8 oz</t>
  </si>
  <si>
    <t>2.5 oz</t>
  </si>
  <si>
    <t>2.0 oz</t>
  </si>
  <si>
    <t>1.8 oz</t>
  </si>
  <si>
    <t>amount needed</t>
  </si>
  <si>
    <t>from chart</t>
  </si>
  <si>
    <t>x</t>
  </si>
  <si>
    <t>Volume Factor</t>
  </si>
  <si>
    <t xml:space="preserve">x </t>
  </si>
  <si>
    <t>desired change in</t>
  </si>
  <si>
    <t>ppm</t>
  </si>
  <si>
    <t>=</t>
  </si>
  <si>
    <t>Total Amount Needed</t>
  </si>
  <si>
    <t xml:space="preserve">conversion factor </t>
  </si>
  <si>
    <t>equivalent cases of 1lb bags</t>
  </si>
  <si>
    <t>Sodum Hypochlorite (12%)</t>
  </si>
  <si>
    <t>1 gallon (128 fluid ounces)</t>
  </si>
  <si>
    <t>divide pool volume by 10,000</t>
  </si>
  <si>
    <t>25# equiv</t>
  </si>
  <si>
    <t>50# equiv</t>
  </si>
  <si>
    <t>pH</t>
  </si>
  <si>
    <t>8.5 - 11</t>
  </si>
  <si>
    <t>9.0 - 14</t>
  </si>
  <si>
    <t>6.5 - 6.8</t>
  </si>
  <si>
    <t>2.8 - 3.5</t>
  </si>
  <si>
    <t>8.0 - 11.0</t>
  </si>
  <si>
    <t>6.5 - 9.5</t>
  </si>
  <si>
    <t>Common Names</t>
  </si>
  <si>
    <t>Cal Hypo</t>
  </si>
  <si>
    <t>Liquid Shock or Bleach</t>
  </si>
  <si>
    <t>Granular</t>
  </si>
  <si>
    <t>Tablets and Sticks</t>
  </si>
  <si>
    <t>pH up, Soda Ash</t>
  </si>
  <si>
    <t>Calcium Increaser</t>
  </si>
  <si>
    <t>Lithium Hypochlorite</t>
  </si>
  <si>
    <t>3.8 oz</t>
  </si>
  <si>
    <t>Lithium Shock</t>
  </si>
  <si>
    <t>10,000 Gallon Adjustment Guide</t>
  </si>
  <si>
    <t>Stabilizer, Conditioner, Primo Power</t>
  </si>
  <si>
    <t>Chlorine Neutralizer</t>
  </si>
  <si>
    <t>pH Decreaser</t>
  </si>
  <si>
    <t>pH up, Alkalinity Increaser</t>
  </si>
  <si>
    <t>Bicarb, Alkalinity Increaser</t>
  </si>
  <si>
    <t>Chemical amounts have been rounded off for conveinence. Always follow the instructions on the manufacturer's label for</t>
  </si>
  <si>
    <t>exact dosages. Physical data, and appearance information are the generally acepted forms, however specific brands may</t>
  </si>
  <si>
    <t>feature different properties. Please consult the SDS sheet for each product brand name.</t>
  </si>
  <si>
    <t>2.4 lbs</t>
  </si>
  <si>
    <t>Hydrochloric Acid</t>
  </si>
  <si>
    <t>Muratic Acid</t>
  </si>
  <si>
    <t>TEMP</t>
  </si>
  <si>
    <t>CALCIUM</t>
  </si>
  <si>
    <t>ALKALINITY</t>
  </si>
  <si>
    <t>TDS</t>
  </si>
  <si>
    <t>LSI</t>
  </si>
  <si>
    <t>TEMP FACTOR</t>
  </si>
  <si>
    <t>RESULT</t>
  </si>
  <si>
    <t>CALCIUM PPM</t>
  </si>
  <si>
    <t>CALCIUM FACTOR</t>
  </si>
  <si>
    <t>ALKALINITY FACTOR</t>
  </si>
  <si>
    <t>TD FACTOR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</si>
</sst>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_);_(@_)"/>
    <numFmt numFmtId="166" formatCode="0.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 val="double"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4">
    <xf numFmtId="0" fontId="0" fillId="0" borderId="0" xfId="0"/>
    <xf numFmtId="164" fontId="0" fillId="0" borderId="0" xfId="1" applyNumberFormat="1" applyFont="1"/>
    <xf numFmtId="0" fontId="0" fillId="0" borderId="1" xfId="0" applyBorder="1"/>
    <xf numFmtId="164" fontId="0" fillId="0" borderId="2" xfId="1" applyNumberFormat="1" applyFont="1" applyBorder="1"/>
    <xf numFmtId="164" fontId="0" fillId="0" borderId="3" xfId="1" applyNumberFormat="1" applyFont="1" applyBorder="1"/>
    <xf numFmtId="0" fontId="0" fillId="0" borderId="4" xfId="0" applyBorder="1"/>
    <xf numFmtId="0" fontId="0" fillId="0" borderId="7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2" fillId="0" borderId="0" xfId="0" applyFont="1"/>
    <xf numFmtId="2" fontId="2" fillId="2" borderId="10" xfId="0" applyNumberFormat="1" applyFont="1" applyFill="1" applyBorder="1"/>
    <xf numFmtId="0" fontId="0" fillId="0" borderId="11" xfId="0" applyBorder="1"/>
    <xf numFmtId="0" fontId="2" fillId="0" borderId="12" xfId="0" applyFont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2" fillId="0" borderId="0" xfId="0" applyFont="1" applyBorder="1"/>
    <xf numFmtId="164" fontId="2" fillId="2" borderId="0" xfId="1" applyNumberFormat="1" applyFont="1" applyFill="1" applyBorder="1"/>
    <xf numFmtId="0" fontId="0" fillId="0" borderId="0" xfId="0" applyBorder="1"/>
    <xf numFmtId="0" fontId="0" fillId="0" borderId="15" xfId="0" applyBorder="1"/>
    <xf numFmtId="2" fontId="2" fillId="2" borderId="0" xfId="0" applyNumberFormat="1" applyFont="1" applyFill="1" applyBorder="1"/>
    <xf numFmtId="2" fontId="3" fillId="0" borderId="0" xfId="0" applyNumberFormat="1" applyFont="1" applyBorder="1"/>
    <xf numFmtId="43" fontId="2" fillId="0" borderId="0" xfId="0" applyNumberFormat="1" applyFont="1" applyBorder="1"/>
    <xf numFmtId="2" fontId="0" fillId="0" borderId="0" xfId="0" applyNumberFormat="1" applyBorder="1"/>
    <xf numFmtId="0" fontId="0" fillId="0" borderId="16" xfId="0" applyBorder="1"/>
    <xf numFmtId="0" fontId="2" fillId="0" borderId="17" xfId="0" applyFont="1" applyBorder="1"/>
    <xf numFmtId="0" fontId="0" fillId="0" borderId="17" xfId="0" applyBorder="1"/>
    <xf numFmtId="2" fontId="0" fillId="0" borderId="17" xfId="0" applyNumberFormat="1" applyBorder="1"/>
    <xf numFmtId="0" fontId="0" fillId="0" borderId="18" xfId="0" applyBorder="1"/>
    <xf numFmtId="1" fontId="2" fillId="2" borderId="12" xfId="0" applyNumberFormat="1" applyFont="1" applyFill="1" applyBorder="1"/>
    <xf numFmtId="2" fontId="0" fillId="0" borderId="12" xfId="0" applyNumberFormat="1" applyBorder="1"/>
    <xf numFmtId="1" fontId="2" fillId="0" borderId="0" xfId="0" applyNumberFormat="1" applyFont="1" applyFill="1" applyBorder="1"/>
    <xf numFmtId="43" fontId="2" fillId="0" borderId="0" xfId="0" applyNumberFormat="1" applyFont="1" applyFill="1" applyBorder="1"/>
    <xf numFmtId="166" fontId="0" fillId="0" borderId="0" xfId="0" applyNumberFormat="1"/>
    <xf numFmtId="0" fontId="0" fillId="2" borderId="0" xfId="0" applyFill="1"/>
    <xf numFmtId="166" fontId="0" fillId="2" borderId="0" xfId="0" applyNumberFormat="1" applyFill="1"/>
    <xf numFmtId="0" fontId="0" fillId="0" borderId="0" xfId="0" applyAlignment="1">
      <alignment horizontal="center"/>
    </xf>
    <xf numFmtId="0" fontId="4" fillId="0" borderId="0" xfId="0" applyFont="1"/>
    <xf numFmtId="0" fontId="0" fillId="0" borderId="0" xfId="0" applyFill="1"/>
    <xf numFmtId="166" fontId="0" fillId="0" borderId="0" xfId="0" applyNumberFormat="1" applyFill="1"/>
    <xf numFmtId="0" fontId="0" fillId="0" borderId="5" xfId="0" applyBorder="1"/>
    <xf numFmtId="0" fontId="0" fillId="0" borderId="0" xfId="0" applyAlignment="1">
      <alignment horizontal="centerContinuous"/>
    </xf>
    <xf numFmtId="43" fontId="5" fillId="0" borderId="0" xfId="0" applyNumberFormat="1" applyFont="1" applyBorder="1"/>
    <xf numFmtId="1" fontId="2" fillId="2" borderId="0" xfId="0" applyNumberFormat="1" applyFont="1" applyFill="1" applyBorder="1"/>
    <xf numFmtId="0" fontId="0" fillId="0" borderId="5" xfId="0" applyFill="1" applyBorder="1" applyAlignment="1">
      <alignment horizontal="center"/>
    </xf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center" vertical="top" wrapText="1"/>
    </xf>
    <xf numFmtId="0" fontId="4" fillId="0" borderId="6" xfId="0" applyFont="1" applyBorder="1"/>
    <xf numFmtId="0" fontId="4" fillId="0" borderId="19" xfId="0" applyFont="1" applyBorder="1"/>
    <xf numFmtId="0" fontId="4" fillId="0" borderId="4" xfId="0" applyFont="1" applyBorder="1"/>
    <xf numFmtId="0" fontId="0" fillId="0" borderId="6" xfId="0" applyFont="1" applyBorder="1"/>
    <xf numFmtId="0" fontId="0" fillId="0" borderId="19" xfId="0" applyFont="1" applyBorder="1"/>
    <xf numFmtId="0" fontId="0" fillId="0" borderId="4" xfId="0" applyFont="1" applyBorder="1"/>
    <xf numFmtId="3" fontId="0" fillId="0" borderId="6" xfId="0" applyNumberFormat="1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4" xfId="0" applyFont="1" applyBorder="1" applyAlignment="1">
      <alignment horizontal="centerContinuous" wrapText="1"/>
    </xf>
    <xf numFmtId="0" fontId="6" fillId="0" borderId="19" xfId="0" applyFont="1" applyBorder="1" applyAlignment="1">
      <alignment horizontal="centerContinuous" wrapText="1"/>
    </xf>
    <xf numFmtId="0" fontId="7" fillId="0" borderId="0" xfId="0" applyFont="1"/>
    <xf numFmtId="0" fontId="0" fillId="0" borderId="0" xfId="0" quotePrefix="1"/>
    <xf numFmtId="0" fontId="0" fillId="0" borderId="0" xfId="0" quotePrefix="1" applyAlignment="1">
      <alignment horizontal="center"/>
    </xf>
    <xf numFmtId="2" fontId="0" fillId="0" borderId="0" xfId="0" applyNumberFormat="1"/>
    <xf numFmtId="0" fontId="0" fillId="2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0" fillId="0" borderId="0" xfId="0" applyAlignment="1"/>
    <xf numFmtId="0" fontId="0" fillId="2" borderId="5" xfId="0" applyFill="1" applyBorder="1" applyAlignment="1">
      <alignment horizontal="center"/>
    </xf>
    <xf numFmtId="0" fontId="0" fillId="2" borderId="5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3" fontId="0" fillId="0" borderId="0" xfId="0" applyNumberFormat="1" applyAlignment="1">
      <alignment horizontal="centerContinuous"/>
    </xf>
    <xf numFmtId="0" fontId="0" fillId="2" borderId="0" xfId="0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0" fillId="0" borderId="0" xfId="0" applyAlignment="1">
      <alignment vertical="center"/>
    </xf>
    <xf numFmtId="166" fontId="0" fillId="0" borderId="0" xfId="0" applyNumberFormat="1" applyAlignment="1">
      <alignment vertical="center"/>
    </xf>
    <xf numFmtId="0" fontId="0" fillId="0" borderId="0" xfId="0" applyFill="1" applyAlignment="1">
      <alignment vertical="center"/>
    </xf>
    <xf numFmtId="166" fontId="0" fillId="0" borderId="0" xfId="0" applyNumberFormat="1" applyFill="1" applyAlignment="1">
      <alignment vertical="center"/>
    </xf>
    <xf numFmtId="0" fontId="0" fillId="2" borderId="6" xfId="0" applyFill="1" applyBorder="1"/>
    <xf numFmtId="0" fontId="0" fillId="2" borderId="4" xfId="0" applyFill="1" applyBorder="1"/>
    <xf numFmtId="0" fontId="0" fillId="0" borderId="6" xfId="0" applyFill="1" applyBorder="1"/>
    <xf numFmtId="0" fontId="0" fillId="0" borderId="4" xfId="0" applyFill="1" applyBorder="1"/>
    <xf numFmtId="0" fontId="0" fillId="2" borderId="6" xfId="0" applyFill="1" applyBorder="1" applyAlignment="1">
      <alignment vertical="center"/>
    </xf>
    <xf numFmtId="0" fontId="0" fillId="2" borderId="4" xfId="0" applyFill="1" applyBorder="1" applyAlignment="1">
      <alignment wrapText="1"/>
    </xf>
    <xf numFmtId="0" fontId="0" fillId="0" borderId="6" xfId="0" applyBorder="1" applyAlignment="1">
      <alignment vertical="center"/>
    </xf>
    <xf numFmtId="0" fontId="0" fillId="0" borderId="6" xfId="0" applyFill="1" applyBorder="1" applyAlignment="1">
      <alignment vertical="center"/>
    </xf>
    <xf numFmtId="0" fontId="0" fillId="0" borderId="6" xfId="0" applyBorder="1"/>
    <xf numFmtId="1" fontId="2" fillId="0" borderId="20" xfId="0" applyNumberFormat="1" applyFont="1" applyFill="1" applyBorder="1"/>
    <xf numFmtId="0" fontId="2" fillId="0" borderId="20" xfId="0" applyFont="1" applyBorder="1"/>
    <xf numFmtId="0" fontId="0" fillId="0" borderId="0" xfId="0" applyBorder="1" applyAlignment="1">
      <alignment horizontal="center"/>
    </xf>
    <xf numFmtId="166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</xdr:colOff>
      <xdr:row>0</xdr:row>
      <xdr:rowOff>15875</xdr:rowOff>
    </xdr:from>
    <xdr:to>
      <xdr:col>10</xdr:col>
      <xdr:colOff>15875</xdr:colOff>
      <xdr:row>5</xdr:row>
      <xdr:rowOff>98425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578" t="85553" r="3639"/>
        <a:stretch/>
      </xdr:blipFill>
      <xdr:spPr>
        <a:xfrm>
          <a:off x="603250" y="15875"/>
          <a:ext cx="7461250" cy="1035050"/>
        </a:xfrm>
        <a:prstGeom prst="rect">
          <a:avLst/>
        </a:prstGeom>
      </xdr:spPr>
    </xdr:pic>
    <xdr:clientData/>
  </xdr:twoCellAnchor>
  <xdr:twoCellAnchor>
    <xdr:from>
      <xdr:col>0</xdr:col>
      <xdr:colOff>301625</xdr:colOff>
      <xdr:row>4</xdr:row>
      <xdr:rowOff>174626</xdr:rowOff>
    </xdr:from>
    <xdr:to>
      <xdr:col>10</xdr:col>
      <xdr:colOff>158750</xdr:colOff>
      <xdr:row>50</xdr:row>
      <xdr:rowOff>79376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 bwMode="auto">
        <a:xfrm>
          <a:off x="301625" y="936626"/>
          <a:ext cx="7905750" cy="9715500"/>
        </a:xfrm>
        <a:prstGeom prst="roundRect">
          <a:avLst>
            <a:gd name="adj" fmla="val 7055"/>
          </a:avLst>
        </a:prstGeom>
        <a:blipFill dpi="0" rotWithShape="1">
          <a:blip xmlns:r="http://schemas.openxmlformats.org/officeDocument/2006/relationships" r:embed="rId2">
            <a:alphaModFix amt="22000"/>
          </a:blip>
          <a:srcRect/>
          <a:stretch>
            <a:fillRect/>
          </a:stretch>
        </a:blip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softEdge rad="127000"/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561975</xdr:colOff>
      <xdr:row>0</xdr:row>
      <xdr:rowOff>47625</xdr:rowOff>
    </xdr:from>
    <xdr:to>
      <xdr:col>8</xdr:col>
      <xdr:colOff>431552</xdr:colOff>
      <xdr:row>5</xdr:row>
      <xdr:rowOff>132725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846" t="82051" r="3640"/>
        <a:stretch/>
      </xdr:blipFill>
      <xdr:spPr>
        <a:xfrm>
          <a:off x="1152525" y="47625"/>
          <a:ext cx="5432177" cy="1085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 fitToPage="1"/>
  </sheetPr>
  <dimension ref="B7:T50"/>
  <sheetViews>
    <sheetView tabSelected="1" zoomScale="90" zoomScaleNormal="90" zoomScaleSheetLayoutView="90" workbookViewId="0">
      <selection activeCell="L3" sqref="L3"/>
    </sheetView>
  </sheetViews>
  <sheetFormatPr defaultColWidth="8.81640625" defaultRowHeight="14.5" x14ac:dyDescent="0.35"/>
  <cols>
    <col min="2" max="2" width="27" bestFit="1" customWidth="1"/>
    <col min="3" max="3" width="21.81640625" customWidth="1"/>
    <col min="4" max="7" width="9.453125" customWidth="1"/>
    <col min="8" max="8" width="5.453125" customWidth="1"/>
    <col min="9" max="9" width="12.7265625" customWidth="1"/>
    <col min="10" max="10" width="6.81640625" customWidth="1"/>
    <col min="12" max="12" width="15.26953125" bestFit="1" customWidth="1"/>
    <col min="13" max="13" width="2" style="40" bestFit="1" customWidth="1"/>
    <col min="14" max="14" width="26.7265625" bestFit="1" customWidth="1"/>
    <col min="15" max="15" width="2.453125" style="40" bestFit="1" customWidth="1"/>
    <col min="16" max="16" width="16.7265625" bestFit="1" customWidth="1"/>
    <col min="17" max="17" width="2" bestFit="1" customWidth="1"/>
    <col min="18" max="18" width="20.81640625" bestFit="1" customWidth="1"/>
    <col min="19" max="19" width="16.81640625" bestFit="1" customWidth="1"/>
    <col min="20" max="20" width="4.54296875" bestFit="1" customWidth="1"/>
  </cols>
  <sheetData>
    <row r="7" spans="2:20" x14ac:dyDescent="0.35">
      <c r="B7" s="41"/>
      <c r="C7" s="41"/>
    </row>
    <row r="8" spans="2:20" x14ac:dyDescent="0.35">
      <c r="D8" s="45" t="s">
        <v>236</v>
      </c>
      <c r="E8" s="45"/>
      <c r="F8" s="45"/>
      <c r="G8" s="45"/>
      <c r="H8" s="45" t="s">
        <v>93</v>
      </c>
      <c r="I8" s="45"/>
      <c r="J8" s="45"/>
      <c r="L8" s="40" t="s">
        <v>203</v>
      </c>
      <c r="N8" s="40" t="s">
        <v>206</v>
      </c>
      <c r="P8" s="40" t="s">
        <v>208</v>
      </c>
    </row>
    <row r="9" spans="2:20" x14ac:dyDescent="0.35">
      <c r="B9" s="41" t="s">
        <v>86</v>
      </c>
      <c r="C9" s="41" t="s">
        <v>226</v>
      </c>
      <c r="D9" s="7" t="s">
        <v>24</v>
      </c>
      <c r="E9" s="7" t="s">
        <v>25</v>
      </c>
      <c r="F9" s="7" t="s">
        <v>26</v>
      </c>
      <c r="G9" s="48" t="s">
        <v>219</v>
      </c>
      <c r="H9" s="73" t="s">
        <v>85</v>
      </c>
      <c r="I9" s="73"/>
      <c r="J9" s="45"/>
      <c r="L9" s="40" t="s">
        <v>204</v>
      </c>
      <c r="M9" s="40" t="s">
        <v>205</v>
      </c>
      <c r="N9" s="40" t="s">
        <v>216</v>
      </c>
      <c r="O9" s="40" t="s">
        <v>207</v>
      </c>
      <c r="P9" s="40" t="s">
        <v>209</v>
      </c>
      <c r="Q9" s="63" t="s">
        <v>210</v>
      </c>
      <c r="R9" s="62" t="s">
        <v>211</v>
      </c>
      <c r="S9" t="s">
        <v>212</v>
      </c>
    </row>
    <row r="10" spans="2:20" ht="18" customHeight="1" x14ac:dyDescent="0.35">
      <c r="B10" s="80" t="s">
        <v>95</v>
      </c>
      <c r="C10" s="81" t="s">
        <v>227</v>
      </c>
      <c r="D10" s="69" t="s">
        <v>199</v>
      </c>
      <c r="E10" s="69" t="s">
        <v>28</v>
      </c>
      <c r="F10" s="69" t="s">
        <v>29</v>
      </c>
      <c r="G10" s="69" t="s">
        <v>220</v>
      </c>
      <c r="H10" s="65"/>
      <c r="I10" s="38" t="s">
        <v>82</v>
      </c>
      <c r="J10" s="39">
        <f>(1/(2.8/16))/2</f>
        <v>2.8571428571428572</v>
      </c>
      <c r="L10" s="40">
        <v>2.8</v>
      </c>
      <c r="M10" s="63" t="s">
        <v>205</v>
      </c>
      <c r="N10" s="40">
        <v>2</v>
      </c>
      <c r="O10" s="40" t="s">
        <v>207</v>
      </c>
      <c r="P10" s="40">
        <v>2.9</v>
      </c>
      <c r="Q10" s="63" t="s">
        <v>210</v>
      </c>
      <c r="R10" s="40">
        <f t="shared" ref="R10" si="0">P10*N10*L10</f>
        <v>16.239999999999998</v>
      </c>
      <c r="S10" s="40">
        <v>16</v>
      </c>
      <c r="T10" s="64">
        <f t="shared" ref="T10:T14" si="1">R10/S10</f>
        <v>1.0149999999999999</v>
      </c>
    </row>
    <row r="11" spans="2:20" ht="18" customHeight="1" x14ac:dyDescent="0.35">
      <c r="B11" s="82" t="s">
        <v>96</v>
      </c>
      <c r="C11" s="83" t="s">
        <v>227</v>
      </c>
      <c r="D11" s="48" t="s">
        <v>200</v>
      </c>
      <c r="E11" s="48"/>
      <c r="F11" s="48"/>
      <c r="G11" s="48" t="s">
        <v>220</v>
      </c>
      <c r="H11" s="66"/>
      <c r="I11" s="42" t="s">
        <v>82</v>
      </c>
      <c r="J11" s="43">
        <f>(1/(2.5/16))/2</f>
        <v>3.2</v>
      </c>
      <c r="L11" s="40">
        <v>2.5</v>
      </c>
      <c r="M11" s="63" t="s">
        <v>205</v>
      </c>
      <c r="N11" s="40">
        <v>2</v>
      </c>
      <c r="O11" s="40" t="s">
        <v>207</v>
      </c>
      <c r="P11" s="40">
        <v>3.2</v>
      </c>
      <c r="Q11" s="63" t="s">
        <v>210</v>
      </c>
      <c r="R11" s="40">
        <f t="shared" ref="R11:R14" si="2">P11*N11*L11</f>
        <v>16</v>
      </c>
      <c r="S11" s="40">
        <v>16</v>
      </c>
      <c r="T11" s="64">
        <f t="shared" si="1"/>
        <v>1</v>
      </c>
    </row>
    <row r="12" spans="2:20" ht="18" customHeight="1" x14ac:dyDescent="0.35">
      <c r="B12" s="80" t="s">
        <v>94</v>
      </c>
      <c r="C12" s="81" t="s">
        <v>227</v>
      </c>
      <c r="D12" s="69" t="s">
        <v>36</v>
      </c>
      <c r="E12" s="69"/>
      <c r="F12" s="69"/>
      <c r="G12" s="69" t="s">
        <v>220</v>
      </c>
      <c r="H12" s="65"/>
      <c r="I12" s="38" t="s">
        <v>82</v>
      </c>
      <c r="J12" s="39">
        <f>(1/(2.07/16))/2</f>
        <v>3.8647342995169085</v>
      </c>
      <c r="L12" s="40">
        <v>2.1</v>
      </c>
      <c r="M12" s="63" t="s">
        <v>205</v>
      </c>
      <c r="N12" s="40">
        <v>2</v>
      </c>
      <c r="O12" s="40" t="s">
        <v>207</v>
      </c>
      <c r="P12" s="40">
        <v>3.9</v>
      </c>
      <c r="Q12" s="63" t="s">
        <v>210</v>
      </c>
      <c r="R12" s="40">
        <f t="shared" si="2"/>
        <v>16.38</v>
      </c>
      <c r="S12" s="40">
        <v>16</v>
      </c>
      <c r="T12" s="64">
        <f t="shared" si="1"/>
        <v>1.0237499999999999</v>
      </c>
    </row>
    <row r="13" spans="2:20" ht="18" customHeight="1" x14ac:dyDescent="0.35">
      <c r="B13" s="82" t="s">
        <v>83</v>
      </c>
      <c r="C13" s="83" t="s">
        <v>227</v>
      </c>
      <c r="D13" s="48" t="s">
        <v>201</v>
      </c>
      <c r="E13" s="48" t="s">
        <v>28</v>
      </c>
      <c r="F13" s="48" t="s">
        <v>29</v>
      </c>
      <c r="G13" s="48" t="s">
        <v>220</v>
      </c>
      <c r="H13" s="67"/>
      <c r="I13" s="42" t="s">
        <v>82</v>
      </c>
      <c r="J13" s="43">
        <f>(1/(2/16))/2</f>
        <v>4</v>
      </c>
      <c r="L13" s="40">
        <v>2</v>
      </c>
      <c r="M13" s="63" t="s">
        <v>205</v>
      </c>
      <c r="N13" s="40">
        <v>2</v>
      </c>
      <c r="O13" s="40" t="s">
        <v>207</v>
      </c>
      <c r="P13" s="40">
        <v>4</v>
      </c>
      <c r="Q13" s="63" t="s">
        <v>210</v>
      </c>
      <c r="R13" s="40">
        <f t="shared" si="2"/>
        <v>16</v>
      </c>
      <c r="S13" s="40">
        <v>16</v>
      </c>
      <c r="T13" s="64">
        <f t="shared" si="1"/>
        <v>1</v>
      </c>
    </row>
    <row r="14" spans="2:20" ht="18" customHeight="1" x14ac:dyDescent="0.35">
      <c r="B14" s="80" t="s">
        <v>88</v>
      </c>
      <c r="C14" s="81" t="s">
        <v>227</v>
      </c>
      <c r="D14" s="69" t="s">
        <v>202</v>
      </c>
      <c r="E14" s="69"/>
      <c r="F14" s="69"/>
      <c r="G14" s="69" t="s">
        <v>220</v>
      </c>
      <c r="H14" s="65"/>
      <c r="I14" s="38" t="s">
        <v>82</v>
      </c>
      <c r="J14" s="39">
        <v>4.4000000000000004</v>
      </c>
      <c r="L14" s="40">
        <v>1.8</v>
      </c>
      <c r="M14" s="63" t="s">
        <v>205</v>
      </c>
      <c r="N14" s="40">
        <v>2</v>
      </c>
      <c r="O14" s="40" t="s">
        <v>207</v>
      </c>
      <c r="P14" s="40">
        <v>4.4000000000000004</v>
      </c>
      <c r="Q14" s="63" t="s">
        <v>210</v>
      </c>
      <c r="R14" s="40">
        <f t="shared" si="2"/>
        <v>15.840000000000002</v>
      </c>
      <c r="S14" s="40">
        <v>16</v>
      </c>
      <c r="T14" s="64">
        <f t="shared" si="1"/>
        <v>0.9900000000000001</v>
      </c>
    </row>
    <row r="15" spans="2:20" ht="18" customHeight="1" x14ac:dyDescent="0.35">
      <c r="B15" s="82" t="s">
        <v>30</v>
      </c>
      <c r="C15" s="83" t="s">
        <v>228</v>
      </c>
      <c r="D15" s="48" t="s">
        <v>31</v>
      </c>
      <c r="E15" s="48" t="s">
        <v>32</v>
      </c>
      <c r="F15" s="48" t="s">
        <v>33</v>
      </c>
      <c r="G15" s="48" t="s">
        <v>221</v>
      </c>
      <c r="H15" s="67"/>
      <c r="I15" s="42" t="s">
        <v>81</v>
      </c>
      <c r="J15" s="43">
        <f>(128/10.7)/2</f>
        <v>5.9813084112149539</v>
      </c>
      <c r="L15" s="40">
        <v>10.7</v>
      </c>
      <c r="M15" s="63" t="s">
        <v>205</v>
      </c>
      <c r="N15" s="40">
        <f>20000/10000</f>
        <v>2</v>
      </c>
      <c r="O15" s="40" t="s">
        <v>207</v>
      </c>
      <c r="P15" s="40">
        <v>6</v>
      </c>
      <c r="Q15" s="63" t="s">
        <v>210</v>
      </c>
      <c r="R15" s="40">
        <f>P15*N15*L15</f>
        <v>128.39999999999998</v>
      </c>
      <c r="S15" s="40">
        <v>128</v>
      </c>
      <c r="T15" s="64">
        <f>R15/S15</f>
        <v>1.0031249999999998</v>
      </c>
    </row>
    <row r="16" spans="2:20" ht="18" customHeight="1" x14ac:dyDescent="0.35">
      <c r="B16" s="80" t="s">
        <v>30</v>
      </c>
      <c r="C16" s="81" t="s">
        <v>228</v>
      </c>
      <c r="D16" s="69" t="s">
        <v>31</v>
      </c>
      <c r="E16" s="69" t="s">
        <v>32</v>
      </c>
      <c r="F16" s="69" t="s">
        <v>33</v>
      </c>
      <c r="G16" s="69" t="s">
        <v>221</v>
      </c>
      <c r="H16" s="65"/>
      <c r="I16" s="38" t="s">
        <v>97</v>
      </c>
      <c r="J16" s="39">
        <f>((128/10.7)/2)*5</f>
        <v>29.90654205607477</v>
      </c>
      <c r="L16" s="40">
        <v>10.7</v>
      </c>
      <c r="M16" s="63" t="s">
        <v>205</v>
      </c>
      <c r="N16" s="40">
        <v>2</v>
      </c>
      <c r="O16" s="40" t="s">
        <v>207</v>
      </c>
      <c r="P16" s="40">
        <v>29.9</v>
      </c>
      <c r="Q16" s="63" t="s">
        <v>210</v>
      </c>
      <c r="R16" s="40">
        <f>P16*N16*L16</f>
        <v>639.8599999999999</v>
      </c>
      <c r="S16" s="40">
        <v>128</v>
      </c>
      <c r="T16" s="64">
        <f>R16/S16</f>
        <v>4.9989062499999992</v>
      </c>
    </row>
    <row r="17" spans="2:20" ht="18" customHeight="1" x14ac:dyDescent="0.35">
      <c r="B17" s="82" t="s">
        <v>35</v>
      </c>
      <c r="C17" s="83" t="s">
        <v>229</v>
      </c>
      <c r="D17" s="48" t="s">
        <v>36</v>
      </c>
      <c r="E17" s="48" t="s">
        <v>37</v>
      </c>
      <c r="F17" s="48" t="s">
        <v>38</v>
      </c>
      <c r="G17" s="48" t="s">
        <v>222</v>
      </c>
      <c r="H17" s="67"/>
      <c r="I17" s="42" t="s">
        <v>82</v>
      </c>
      <c r="J17" s="43">
        <f>(1/(2.1/16))/2</f>
        <v>3.8095238095238093</v>
      </c>
      <c r="L17" s="40">
        <v>2.1</v>
      </c>
      <c r="M17" s="63" t="s">
        <v>205</v>
      </c>
      <c r="N17" s="40">
        <v>2</v>
      </c>
      <c r="O17" s="40" t="s">
        <v>207</v>
      </c>
      <c r="P17" s="40">
        <v>3.8</v>
      </c>
      <c r="Q17" s="63" t="s">
        <v>210</v>
      </c>
      <c r="R17" s="40">
        <f t="shared" ref="R17:R19" si="3">P17*N17*L17</f>
        <v>15.959999999999999</v>
      </c>
      <c r="S17" s="40">
        <v>16</v>
      </c>
      <c r="T17" s="64">
        <f t="shared" ref="T17:T19" si="4">R17/S17</f>
        <v>0.99749999999999994</v>
      </c>
    </row>
    <row r="18" spans="2:20" ht="18" customHeight="1" x14ac:dyDescent="0.35">
      <c r="B18" s="80" t="s">
        <v>39</v>
      </c>
      <c r="C18" s="81" t="s">
        <v>229</v>
      </c>
      <c r="D18" s="69" t="s">
        <v>40</v>
      </c>
      <c r="E18" s="69" t="s">
        <v>41</v>
      </c>
      <c r="F18" s="69" t="s">
        <v>42</v>
      </c>
      <c r="G18" s="69" t="s">
        <v>222</v>
      </c>
      <c r="H18" s="65"/>
      <c r="I18" s="38" t="s">
        <v>82</v>
      </c>
      <c r="J18" s="39">
        <f>(1/(2.4/16))/2</f>
        <v>3.3333333333333335</v>
      </c>
      <c r="L18" s="40">
        <v>2.4</v>
      </c>
      <c r="M18" s="63" t="s">
        <v>205</v>
      </c>
      <c r="N18" s="40">
        <v>2</v>
      </c>
      <c r="O18" s="40" t="s">
        <v>207</v>
      </c>
      <c r="P18" s="40">
        <v>3.3</v>
      </c>
      <c r="Q18" s="63" t="s">
        <v>210</v>
      </c>
      <c r="R18" s="40">
        <f t="shared" si="3"/>
        <v>15.839999999999998</v>
      </c>
      <c r="S18" s="40">
        <v>16</v>
      </c>
      <c r="T18" s="64">
        <f t="shared" si="4"/>
        <v>0.98999999999999988</v>
      </c>
    </row>
    <row r="19" spans="2:20" ht="18" customHeight="1" x14ac:dyDescent="0.35">
      <c r="B19" s="82" t="s">
        <v>43</v>
      </c>
      <c r="C19" s="83" t="s">
        <v>230</v>
      </c>
      <c r="D19" s="48" t="s">
        <v>44</v>
      </c>
      <c r="E19" s="48" t="s">
        <v>45</v>
      </c>
      <c r="F19" s="48" t="s">
        <v>46</v>
      </c>
      <c r="G19" s="48" t="s">
        <v>223</v>
      </c>
      <c r="H19" s="67"/>
      <c r="I19" s="42" t="s">
        <v>82</v>
      </c>
      <c r="J19" s="43">
        <v>5.35</v>
      </c>
      <c r="L19" s="40">
        <v>1.5</v>
      </c>
      <c r="M19" s="63" t="s">
        <v>205</v>
      </c>
      <c r="N19" s="40">
        <v>2</v>
      </c>
      <c r="O19" s="40" t="s">
        <v>207</v>
      </c>
      <c r="P19" s="40">
        <v>5.35</v>
      </c>
      <c r="Q19" s="63" t="s">
        <v>210</v>
      </c>
      <c r="R19" s="40">
        <f t="shared" si="3"/>
        <v>16.049999999999997</v>
      </c>
      <c r="S19" s="40">
        <v>16</v>
      </c>
      <c r="T19" s="64">
        <f t="shared" si="4"/>
        <v>1.0031249999999998</v>
      </c>
    </row>
    <row r="20" spans="2:20" ht="18" customHeight="1" x14ac:dyDescent="0.35">
      <c r="B20" s="80" t="s">
        <v>233</v>
      </c>
      <c r="C20" s="81" t="s">
        <v>235</v>
      </c>
      <c r="D20" s="69" t="s">
        <v>234</v>
      </c>
      <c r="E20" s="69" t="s">
        <v>34</v>
      </c>
      <c r="F20" s="69" t="s">
        <v>245</v>
      </c>
      <c r="G20" s="69">
        <v>10.8</v>
      </c>
      <c r="H20" s="65"/>
      <c r="I20" s="38" t="s">
        <v>82</v>
      </c>
      <c r="J20" s="39">
        <v>2.1</v>
      </c>
      <c r="L20" s="40">
        <v>3.8</v>
      </c>
      <c r="M20" s="63" t="s">
        <v>205</v>
      </c>
      <c r="N20" s="40">
        <v>2</v>
      </c>
      <c r="O20" s="40" t="s">
        <v>207</v>
      </c>
      <c r="P20" s="40">
        <v>2.1</v>
      </c>
      <c r="Q20" s="63" t="s">
        <v>210</v>
      </c>
      <c r="R20" s="40">
        <f t="shared" ref="R20" si="5">P20*N20*L20</f>
        <v>15.959999999999999</v>
      </c>
      <c r="S20" s="40">
        <v>16</v>
      </c>
      <c r="T20" s="64">
        <f t="shared" ref="T20" si="6">R20/S20</f>
        <v>0.99749999999999994</v>
      </c>
    </row>
    <row r="22" spans="2:20" x14ac:dyDescent="0.35">
      <c r="D22" s="45" t="s">
        <v>236</v>
      </c>
      <c r="E22" s="45"/>
      <c r="F22" s="45"/>
      <c r="G22" s="45"/>
      <c r="H22" s="45" t="s">
        <v>93</v>
      </c>
      <c r="I22" s="45"/>
      <c r="J22" s="45"/>
    </row>
    <row r="23" spans="2:20" x14ac:dyDescent="0.35">
      <c r="B23" s="41" t="s">
        <v>47</v>
      </c>
      <c r="C23" s="41" t="s">
        <v>226</v>
      </c>
      <c r="D23" s="7" t="s">
        <v>26</v>
      </c>
      <c r="E23" s="7" t="s">
        <v>48</v>
      </c>
      <c r="F23" s="7" t="s">
        <v>49</v>
      </c>
      <c r="G23" s="48" t="s">
        <v>219</v>
      </c>
      <c r="H23" s="73" t="s">
        <v>85</v>
      </c>
      <c r="I23" s="73"/>
      <c r="J23" s="45"/>
    </row>
    <row r="24" spans="2:20" ht="29" x14ac:dyDescent="0.35">
      <c r="B24" s="84" t="s">
        <v>15</v>
      </c>
      <c r="C24" s="85" t="s">
        <v>241</v>
      </c>
      <c r="D24" s="70" t="s">
        <v>42</v>
      </c>
      <c r="E24" s="70" t="s">
        <v>50</v>
      </c>
      <c r="F24" s="70" t="s">
        <v>51</v>
      </c>
      <c r="G24" s="70">
        <v>8.3000000000000007</v>
      </c>
      <c r="H24" s="65"/>
      <c r="I24" s="74" t="s">
        <v>84</v>
      </c>
      <c r="J24" s="75">
        <f>((25/1.4)*10)/2</f>
        <v>89.285714285714292</v>
      </c>
      <c r="L24" s="40">
        <f>1.4/10</f>
        <v>0.13999999999999999</v>
      </c>
      <c r="M24" s="63"/>
      <c r="N24" s="40"/>
      <c r="P24" s="40"/>
      <c r="Q24" s="63"/>
      <c r="R24" s="40"/>
      <c r="S24" s="40"/>
      <c r="T24" s="64"/>
    </row>
    <row r="25" spans="2:20" x14ac:dyDescent="0.35">
      <c r="B25" s="86" t="s">
        <v>14</v>
      </c>
      <c r="C25" s="5" t="s">
        <v>231</v>
      </c>
      <c r="D25" s="71" t="s">
        <v>46</v>
      </c>
      <c r="E25" s="71" t="s">
        <v>52</v>
      </c>
      <c r="F25" s="71" t="s">
        <v>53</v>
      </c>
      <c r="G25" s="72">
        <v>13</v>
      </c>
      <c r="H25" s="22"/>
      <c r="I25" s="76" t="s">
        <v>84</v>
      </c>
      <c r="J25" s="77">
        <f>(25/(14/16)*10)/2</f>
        <v>142.85714285714286</v>
      </c>
      <c r="L25" s="40">
        <f>14/10</f>
        <v>1.4</v>
      </c>
      <c r="M25" s="63"/>
      <c r="N25" s="40"/>
      <c r="P25" s="40"/>
      <c r="Q25" s="63"/>
      <c r="R25" s="40"/>
      <c r="S25" s="40"/>
      <c r="T25" s="64"/>
    </row>
    <row r="26" spans="2:20" ht="29" x14ac:dyDescent="0.35">
      <c r="B26" s="84" t="s">
        <v>16</v>
      </c>
      <c r="C26" s="85" t="s">
        <v>240</v>
      </c>
      <c r="D26" s="70" t="s">
        <v>54</v>
      </c>
      <c r="E26" s="70" t="s">
        <v>55</v>
      </c>
      <c r="F26" s="70" t="s">
        <v>56</v>
      </c>
      <c r="G26" s="70">
        <v>10.1</v>
      </c>
      <c r="H26" s="65"/>
      <c r="I26" s="74" t="s">
        <v>84</v>
      </c>
      <c r="J26" s="75">
        <f>((25/1.25)*10)/2</f>
        <v>100</v>
      </c>
      <c r="L26" s="40">
        <f>1.25/10</f>
        <v>0.125</v>
      </c>
      <c r="M26" s="63"/>
      <c r="N26" s="40"/>
      <c r="P26" s="40"/>
      <c r="Q26" s="63"/>
      <c r="R26" s="40"/>
      <c r="S26" s="40"/>
      <c r="T26" s="64"/>
    </row>
    <row r="27" spans="2:20" s="42" customFormat="1" x14ac:dyDescent="0.35">
      <c r="B27" s="87" t="s">
        <v>87</v>
      </c>
      <c r="C27" s="83"/>
      <c r="D27" s="72" t="s">
        <v>91</v>
      </c>
      <c r="E27" s="72" t="s">
        <v>89</v>
      </c>
      <c r="F27" s="72" t="s">
        <v>90</v>
      </c>
      <c r="G27" s="72"/>
      <c r="H27" s="67"/>
      <c r="I27" s="78" t="s">
        <v>84</v>
      </c>
      <c r="J27" s="79">
        <f>((25/1)*7.5)/2</f>
        <v>93.75</v>
      </c>
      <c r="L27" s="40"/>
      <c r="M27" s="63"/>
      <c r="N27" s="40"/>
      <c r="O27" s="40"/>
      <c r="P27" s="40"/>
      <c r="Q27" s="63"/>
      <c r="R27" s="40"/>
      <c r="S27" s="40"/>
      <c r="T27" s="64"/>
    </row>
    <row r="28" spans="2:20" x14ac:dyDescent="0.35">
      <c r="L28" s="40"/>
      <c r="N28" s="40"/>
      <c r="R28" s="40"/>
      <c r="S28" s="40"/>
    </row>
    <row r="29" spans="2:20" x14ac:dyDescent="0.35">
      <c r="D29" s="45" t="s">
        <v>236</v>
      </c>
      <c r="E29" s="45"/>
      <c r="F29" s="45"/>
      <c r="G29" s="45"/>
      <c r="H29" s="68"/>
    </row>
    <row r="30" spans="2:20" x14ac:dyDescent="0.35">
      <c r="B30" s="41" t="s">
        <v>57</v>
      </c>
      <c r="C30" s="41" t="s">
        <v>226</v>
      </c>
      <c r="D30" s="7" t="s">
        <v>26</v>
      </c>
      <c r="E30" s="7" t="s">
        <v>48</v>
      </c>
      <c r="F30" s="7" t="s">
        <v>49</v>
      </c>
      <c r="G30" s="48" t="s">
        <v>219</v>
      </c>
      <c r="H30" s="22"/>
    </row>
    <row r="31" spans="2:20" x14ac:dyDescent="0.35">
      <c r="B31" s="80" t="s">
        <v>246</v>
      </c>
      <c r="C31" s="81" t="s">
        <v>247</v>
      </c>
      <c r="D31" s="69" t="s">
        <v>58</v>
      </c>
      <c r="E31" s="69" t="s">
        <v>59</v>
      </c>
      <c r="F31" s="69" t="s">
        <v>60</v>
      </c>
      <c r="G31" s="69">
        <v>0.1</v>
      </c>
      <c r="L31" s="40">
        <v>3.8</v>
      </c>
      <c r="M31" s="63" t="s">
        <v>205</v>
      </c>
      <c r="N31" s="40">
        <v>2</v>
      </c>
      <c r="O31" s="40" t="s">
        <v>207</v>
      </c>
      <c r="P31" s="40">
        <v>2.1</v>
      </c>
      <c r="Q31" s="63" t="s">
        <v>210</v>
      </c>
      <c r="R31" s="40">
        <f t="shared" ref="R31" si="7">P31*N31*L31</f>
        <v>15.959999999999999</v>
      </c>
      <c r="S31" s="40">
        <v>16</v>
      </c>
      <c r="T31" s="64">
        <f t="shared" ref="T31" si="8">R31/S31</f>
        <v>0.99749999999999994</v>
      </c>
    </row>
    <row r="32" spans="2:20" x14ac:dyDescent="0.35">
      <c r="B32" s="88" t="s">
        <v>61</v>
      </c>
      <c r="C32" s="5" t="s">
        <v>239</v>
      </c>
      <c r="D32" s="7" t="s">
        <v>62</v>
      </c>
      <c r="E32" s="7" t="s">
        <v>63</v>
      </c>
      <c r="F32" s="7" t="s">
        <v>64</v>
      </c>
      <c r="G32" s="48">
        <v>1.4</v>
      </c>
      <c r="L32" s="40">
        <v>3.8</v>
      </c>
      <c r="M32" s="63" t="s">
        <v>205</v>
      </c>
      <c r="N32" s="40">
        <v>2</v>
      </c>
      <c r="O32" s="40" t="s">
        <v>207</v>
      </c>
      <c r="P32" s="40">
        <v>2.1</v>
      </c>
      <c r="Q32" s="63" t="s">
        <v>210</v>
      </c>
      <c r="R32" s="40">
        <f t="shared" ref="R32" si="9">P32*N32*L32</f>
        <v>15.959999999999999</v>
      </c>
      <c r="S32" s="40">
        <v>16</v>
      </c>
      <c r="T32" s="64">
        <f t="shared" ref="T32" si="10">R32/S32</f>
        <v>0.99749999999999994</v>
      </c>
    </row>
    <row r="33" spans="2:20" x14ac:dyDescent="0.35">
      <c r="B33" s="22"/>
      <c r="C33" s="22"/>
      <c r="D33" s="91"/>
      <c r="E33" s="91"/>
      <c r="F33" s="91"/>
      <c r="G33" s="66"/>
      <c r="H33" s="22"/>
      <c r="J33" s="37"/>
    </row>
    <row r="34" spans="2:20" x14ac:dyDescent="0.35">
      <c r="D34" s="45" t="s">
        <v>236</v>
      </c>
      <c r="E34" s="45"/>
      <c r="F34" s="45"/>
      <c r="G34" s="45"/>
      <c r="H34" s="45" t="s">
        <v>93</v>
      </c>
      <c r="I34" s="45"/>
      <c r="J34" s="45"/>
    </row>
    <row r="35" spans="2:20" x14ac:dyDescent="0.35">
      <c r="B35" s="41" t="s">
        <v>65</v>
      </c>
      <c r="C35" s="41" t="s">
        <v>226</v>
      </c>
      <c r="D35" s="7" t="s">
        <v>26</v>
      </c>
      <c r="E35" s="7" t="s">
        <v>48</v>
      </c>
      <c r="F35" s="7" t="s">
        <v>49</v>
      </c>
      <c r="G35" s="48" t="s">
        <v>219</v>
      </c>
      <c r="H35" s="73" t="s">
        <v>85</v>
      </c>
      <c r="I35" s="73"/>
      <c r="J35" s="45"/>
    </row>
    <row r="36" spans="2:20" ht="18" customHeight="1" x14ac:dyDescent="0.35">
      <c r="B36" s="80" t="s">
        <v>20</v>
      </c>
      <c r="C36" s="81" t="s">
        <v>232</v>
      </c>
      <c r="D36" s="69" t="s">
        <v>66</v>
      </c>
      <c r="E36" s="69" t="s">
        <v>67</v>
      </c>
      <c r="F36" s="69" t="s">
        <v>68</v>
      </c>
      <c r="G36" s="69" t="s">
        <v>224</v>
      </c>
      <c r="H36" s="65"/>
      <c r="I36" s="38" t="s">
        <v>84</v>
      </c>
      <c r="J36" s="75">
        <f>((25/1)*10)/2</f>
        <v>125</v>
      </c>
      <c r="L36" s="40"/>
      <c r="M36" s="63"/>
      <c r="N36" s="40"/>
      <c r="P36" s="40"/>
      <c r="Q36" s="63"/>
      <c r="R36" s="40"/>
      <c r="S36" s="40"/>
      <c r="T36" s="64"/>
    </row>
    <row r="37" spans="2:20" ht="18" customHeight="1" x14ac:dyDescent="0.35">
      <c r="B37" s="88" t="s">
        <v>21</v>
      </c>
      <c r="C37" s="5" t="s">
        <v>232</v>
      </c>
      <c r="D37" s="7" t="s">
        <v>34</v>
      </c>
      <c r="E37" s="7" t="s">
        <v>69</v>
      </c>
      <c r="F37" s="7" t="s">
        <v>70</v>
      </c>
      <c r="G37" s="48" t="s">
        <v>224</v>
      </c>
      <c r="H37" s="22"/>
      <c r="I37" s="42" t="s">
        <v>84</v>
      </c>
      <c r="J37" s="77">
        <f>(25/1.2*10)/2</f>
        <v>104.16666666666669</v>
      </c>
      <c r="L37" s="40"/>
      <c r="M37" s="63"/>
      <c r="N37" s="40"/>
      <c r="P37" s="40"/>
      <c r="Q37" s="63"/>
      <c r="R37" s="40"/>
      <c r="S37" s="40"/>
      <c r="T37" s="64"/>
    </row>
    <row r="38" spans="2:20" x14ac:dyDescent="0.35">
      <c r="J38" s="37"/>
    </row>
    <row r="39" spans="2:20" x14ac:dyDescent="0.35">
      <c r="D39" s="45" t="s">
        <v>236</v>
      </c>
      <c r="E39" s="45"/>
      <c r="F39" s="45"/>
      <c r="G39" s="45"/>
      <c r="H39" s="45" t="s">
        <v>93</v>
      </c>
      <c r="I39" s="45"/>
      <c r="J39" s="45"/>
    </row>
    <row r="40" spans="2:20" x14ac:dyDescent="0.35">
      <c r="B40" s="41" t="s">
        <v>71</v>
      </c>
      <c r="C40" s="41" t="s">
        <v>226</v>
      </c>
      <c r="D40" s="71" t="s">
        <v>26</v>
      </c>
      <c r="E40" s="71" t="s">
        <v>48</v>
      </c>
      <c r="F40" s="71" t="s">
        <v>49</v>
      </c>
      <c r="G40" s="72" t="s">
        <v>219</v>
      </c>
      <c r="H40" s="73" t="s">
        <v>85</v>
      </c>
      <c r="I40" s="73"/>
      <c r="J40" s="45"/>
    </row>
    <row r="41" spans="2:20" ht="29" x14ac:dyDescent="0.35">
      <c r="B41" s="84" t="s">
        <v>72</v>
      </c>
      <c r="C41" s="85" t="s">
        <v>237</v>
      </c>
      <c r="D41" s="70" t="s">
        <v>27</v>
      </c>
      <c r="E41" s="70" t="s">
        <v>73</v>
      </c>
      <c r="F41" s="70" t="s">
        <v>74</v>
      </c>
      <c r="G41" s="70">
        <v>3</v>
      </c>
      <c r="H41" s="65"/>
      <c r="I41" s="74" t="s">
        <v>82</v>
      </c>
      <c r="J41" s="75">
        <f>((19/16)*10)/2</f>
        <v>5.9375</v>
      </c>
      <c r="L41" s="40"/>
      <c r="M41" s="63"/>
      <c r="N41" s="40"/>
      <c r="P41" s="40"/>
      <c r="Q41" s="63"/>
      <c r="R41" s="40"/>
      <c r="S41" s="40"/>
      <c r="T41" s="64"/>
    </row>
    <row r="42" spans="2:20" x14ac:dyDescent="0.35">
      <c r="L42" s="40"/>
      <c r="M42" s="63"/>
      <c r="N42" s="40"/>
      <c r="P42" s="40"/>
      <c r="Q42" s="63"/>
      <c r="R42" s="40"/>
      <c r="S42" s="40"/>
      <c r="T42" s="64"/>
    </row>
    <row r="43" spans="2:20" x14ac:dyDescent="0.35">
      <c r="D43" s="45" t="s">
        <v>236</v>
      </c>
      <c r="E43" s="45"/>
      <c r="F43" s="45"/>
      <c r="G43" s="45"/>
      <c r="M43"/>
      <c r="O43"/>
    </row>
    <row r="44" spans="2:20" x14ac:dyDescent="0.35">
      <c r="B44" s="41" t="s">
        <v>75</v>
      </c>
      <c r="C44" s="41" t="s">
        <v>226</v>
      </c>
      <c r="D44" s="7" t="s">
        <v>24</v>
      </c>
      <c r="E44" s="7" t="s">
        <v>25</v>
      </c>
      <c r="F44" s="7" t="s">
        <v>26</v>
      </c>
      <c r="G44" s="48" t="s">
        <v>219</v>
      </c>
      <c r="M44"/>
      <c r="O44"/>
    </row>
    <row r="45" spans="2:20" ht="18" customHeight="1" x14ac:dyDescent="0.35">
      <c r="B45" s="80" t="s">
        <v>76</v>
      </c>
      <c r="C45" s="81" t="s">
        <v>238</v>
      </c>
      <c r="D45" s="69" t="s">
        <v>77</v>
      </c>
      <c r="E45" s="69" t="s">
        <v>27</v>
      </c>
      <c r="F45" s="69" t="s">
        <v>78</v>
      </c>
      <c r="G45" s="69" t="s">
        <v>225</v>
      </c>
      <c r="M45"/>
      <c r="O45"/>
    </row>
    <row r="46" spans="2:20" ht="18" customHeight="1" x14ac:dyDescent="0.35">
      <c r="B46" s="88" t="s">
        <v>79</v>
      </c>
      <c r="C46" s="5" t="s">
        <v>238</v>
      </c>
      <c r="D46" s="7" t="s">
        <v>40</v>
      </c>
      <c r="E46" s="7" t="s">
        <v>41</v>
      </c>
      <c r="F46" s="7" t="s">
        <v>80</v>
      </c>
      <c r="G46" s="48">
        <v>9</v>
      </c>
      <c r="M46"/>
      <c r="O46"/>
    </row>
    <row r="48" spans="2:20" x14ac:dyDescent="0.35">
      <c r="B48" t="s">
        <v>242</v>
      </c>
    </row>
    <row r="49" spans="2:2" x14ac:dyDescent="0.35">
      <c r="B49" t="s">
        <v>243</v>
      </c>
    </row>
    <row r="50" spans="2:2" x14ac:dyDescent="0.35">
      <c r="B50" t="s">
        <v>244</v>
      </c>
    </row>
  </sheetData>
  <pageMargins left="0.7" right="0.7" top="0.75" bottom="0.75" header="0.3" footer="0.3"/>
  <pageSetup scale="8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EA946-1684-4C31-AD42-9ACE2D24B797}">
  <dimension ref="D4:O22"/>
  <sheetViews>
    <sheetView workbookViewId="0">
      <selection activeCell="L17" sqref="L17"/>
    </sheetView>
  </sheetViews>
  <sheetFormatPr defaultRowHeight="14.5" x14ac:dyDescent="0.35"/>
  <cols>
    <col min="4" max="4" width="5.81640625" bestFit="1" customWidth="1"/>
    <col min="5" max="5" width="13.453125" bestFit="1" customWidth="1"/>
    <col min="6" max="6" width="7.26953125" bestFit="1" customWidth="1"/>
    <col min="7" max="7" width="13.54296875" bestFit="1" customWidth="1"/>
    <col min="8" max="8" width="16.54296875" bestFit="1" customWidth="1"/>
    <col min="9" max="9" width="7.26953125" bestFit="1" customWidth="1"/>
    <col min="10" max="10" width="11" bestFit="1" customWidth="1"/>
    <col min="11" max="11" width="18.7265625" bestFit="1" customWidth="1"/>
    <col min="12" max="12" width="7.26953125" bestFit="1" customWidth="1"/>
    <col min="13" max="13" width="5" bestFit="1" customWidth="1"/>
    <col min="14" max="14" width="10.7265625" bestFit="1" customWidth="1"/>
    <col min="15" max="15" width="7.26953125" bestFit="1" customWidth="1"/>
  </cols>
  <sheetData>
    <row r="4" spans="4:15" x14ac:dyDescent="0.35">
      <c r="E4" s="40" t="s">
        <v>219</v>
      </c>
      <c r="F4" t="s">
        <v>248</v>
      </c>
      <c r="G4" t="s">
        <v>249</v>
      </c>
      <c r="H4" t="s">
        <v>250</v>
      </c>
      <c r="I4" t="s">
        <v>251</v>
      </c>
      <c r="K4" t="s">
        <v>252</v>
      </c>
    </row>
    <row r="5" spans="4:15" x14ac:dyDescent="0.35">
      <c r="E5" s="92">
        <v>7.2</v>
      </c>
      <c r="F5" s="93">
        <v>84</v>
      </c>
      <c r="G5" s="93">
        <v>150</v>
      </c>
      <c r="H5" s="93">
        <v>100</v>
      </c>
      <c r="I5" s="93">
        <v>1000</v>
      </c>
      <c r="K5" s="37">
        <f>E5+F22+I22+L22-O22</f>
        <v>-0.39999999999999858</v>
      </c>
    </row>
    <row r="9" spans="4:15" x14ac:dyDescent="0.35">
      <c r="D9" t="s">
        <v>248</v>
      </c>
      <c r="E9" t="s">
        <v>253</v>
      </c>
      <c r="F9" t="s">
        <v>254</v>
      </c>
      <c r="G9" t="s">
        <v>255</v>
      </c>
      <c r="H9" t="s">
        <v>256</v>
      </c>
      <c r="I9" t="s">
        <v>254</v>
      </c>
      <c r="J9" t="s">
        <v>250</v>
      </c>
      <c r="K9" t="s">
        <v>257</v>
      </c>
      <c r="L9" t="s">
        <v>254</v>
      </c>
      <c r="M9" t="s">
        <v>251</v>
      </c>
      <c r="N9" t="s">
        <v>258</v>
      </c>
      <c r="O9" t="s">
        <v>254</v>
      </c>
    </row>
    <row r="10" spans="4:15" x14ac:dyDescent="0.35">
      <c r="D10">
        <v>32</v>
      </c>
      <c r="E10">
        <v>0</v>
      </c>
      <c r="F10">
        <f>IF($F$5=D10,E10,0)</f>
        <v>0</v>
      </c>
      <c r="G10">
        <v>25</v>
      </c>
      <c r="H10">
        <v>1</v>
      </c>
      <c r="I10">
        <f>IF($G$5=G10,H10,0)</f>
        <v>0</v>
      </c>
      <c r="J10">
        <v>25</v>
      </c>
      <c r="K10">
        <v>1.4</v>
      </c>
      <c r="L10">
        <f>IF($H$5=J10,K10,0)</f>
        <v>0</v>
      </c>
      <c r="M10">
        <v>1000</v>
      </c>
      <c r="N10">
        <v>12.1</v>
      </c>
      <c r="O10">
        <f>IF(I5&lt;=M10,N10,0)</f>
        <v>12.1</v>
      </c>
    </row>
    <row r="11" spans="4:15" x14ac:dyDescent="0.35">
      <c r="D11">
        <v>37</v>
      </c>
      <c r="E11">
        <v>0.1</v>
      </c>
      <c r="F11">
        <f t="shared" ref="F11:F19" si="0">IF($F$5=D11,E11,0)</f>
        <v>0</v>
      </c>
      <c r="G11">
        <v>50</v>
      </c>
      <c r="H11">
        <v>1.3</v>
      </c>
      <c r="I11">
        <f t="shared" ref="I11:I20" si="1">IF($G$5=G11,H11,0)</f>
        <v>0</v>
      </c>
      <c r="J11">
        <v>50</v>
      </c>
      <c r="K11">
        <v>1.7</v>
      </c>
      <c r="L11">
        <f t="shared" ref="L11:L20" si="2">IF($H$5=J11,K11,0)</f>
        <v>0</v>
      </c>
      <c r="M11">
        <v>1000</v>
      </c>
      <c r="N11">
        <v>12.2</v>
      </c>
      <c r="O11">
        <f>IF(I5&gt;M11,N11,0)</f>
        <v>0</v>
      </c>
    </row>
    <row r="12" spans="4:15" x14ac:dyDescent="0.35">
      <c r="D12">
        <v>46</v>
      </c>
      <c r="E12">
        <v>0.2</v>
      </c>
      <c r="F12">
        <f t="shared" si="0"/>
        <v>0</v>
      </c>
      <c r="G12">
        <v>75</v>
      </c>
      <c r="H12">
        <v>1.5</v>
      </c>
      <c r="I12">
        <f t="shared" si="1"/>
        <v>0</v>
      </c>
      <c r="J12">
        <v>75</v>
      </c>
      <c r="K12">
        <v>1.9</v>
      </c>
      <c r="L12">
        <f t="shared" si="2"/>
        <v>0</v>
      </c>
    </row>
    <row r="13" spans="4:15" x14ac:dyDescent="0.35">
      <c r="D13">
        <v>53</v>
      </c>
      <c r="E13">
        <v>0.3</v>
      </c>
      <c r="F13">
        <f t="shared" si="0"/>
        <v>0</v>
      </c>
      <c r="G13">
        <v>100</v>
      </c>
      <c r="H13">
        <v>1.6</v>
      </c>
      <c r="I13">
        <f t="shared" si="1"/>
        <v>0</v>
      </c>
      <c r="J13">
        <v>100</v>
      </c>
      <c r="K13" s="37">
        <v>2</v>
      </c>
      <c r="L13">
        <f t="shared" si="2"/>
        <v>2</v>
      </c>
    </row>
    <row r="14" spans="4:15" x14ac:dyDescent="0.35">
      <c r="D14">
        <v>60</v>
      </c>
      <c r="E14">
        <v>0.4</v>
      </c>
      <c r="F14">
        <f t="shared" si="0"/>
        <v>0</v>
      </c>
      <c r="G14">
        <v>150</v>
      </c>
      <c r="H14">
        <v>1.8</v>
      </c>
      <c r="I14">
        <f t="shared" si="1"/>
        <v>1.8</v>
      </c>
      <c r="J14">
        <v>125</v>
      </c>
      <c r="K14">
        <v>2.1</v>
      </c>
      <c r="L14">
        <f t="shared" si="2"/>
        <v>0</v>
      </c>
    </row>
    <row r="15" spans="4:15" x14ac:dyDescent="0.35">
      <c r="D15">
        <v>66</v>
      </c>
      <c r="E15">
        <v>0.5</v>
      </c>
      <c r="F15">
        <f t="shared" si="0"/>
        <v>0</v>
      </c>
      <c r="G15">
        <v>200</v>
      </c>
      <c r="H15">
        <v>1.9</v>
      </c>
      <c r="I15">
        <f t="shared" si="1"/>
        <v>0</v>
      </c>
      <c r="J15">
        <v>150</v>
      </c>
      <c r="K15">
        <v>2.2000000000000002</v>
      </c>
      <c r="L15">
        <f t="shared" si="2"/>
        <v>0</v>
      </c>
    </row>
    <row r="16" spans="4:15" x14ac:dyDescent="0.35">
      <c r="D16">
        <v>76</v>
      </c>
      <c r="E16">
        <v>0.6</v>
      </c>
      <c r="F16">
        <f t="shared" si="0"/>
        <v>0</v>
      </c>
      <c r="G16">
        <v>250</v>
      </c>
      <c r="H16" s="37">
        <v>2</v>
      </c>
      <c r="I16">
        <f t="shared" si="1"/>
        <v>0</v>
      </c>
      <c r="J16">
        <v>200</v>
      </c>
      <c r="K16">
        <v>2.2999999999999998</v>
      </c>
      <c r="L16">
        <f t="shared" si="2"/>
        <v>0</v>
      </c>
    </row>
    <row r="17" spans="4:15" x14ac:dyDescent="0.35">
      <c r="D17">
        <v>84</v>
      </c>
      <c r="E17">
        <v>0.7</v>
      </c>
      <c r="F17">
        <f t="shared" si="0"/>
        <v>0.7</v>
      </c>
      <c r="G17">
        <v>300</v>
      </c>
      <c r="H17">
        <v>2.1</v>
      </c>
      <c r="I17">
        <f t="shared" si="1"/>
        <v>0</v>
      </c>
      <c r="J17">
        <v>250</v>
      </c>
      <c r="K17">
        <v>2.4</v>
      </c>
      <c r="L17">
        <f t="shared" si="2"/>
        <v>0</v>
      </c>
    </row>
    <row r="18" spans="4:15" x14ac:dyDescent="0.35">
      <c r="D18">
        <v>94</v>
      </c>
      <c r="E18">
        <v>0.8</v>
      </c>
      <c r="F18">
        <f t="shared" si="0"/>
        <v>0</v>
      </c>
      <c r="G18">
        <v>400</v>
      </c>
      <c r="H18">
        <v>2.2000000000000002</v>
      </c>
      <c r="I18">
        <f t="shared" si="1"/>
        <v>0</v>
      </c>
      <c r="J18">
        <v>300</v>
      </c>
      <c r="K18">
        <v>2.5</v>
      </c>
      <c r="L18">
        <f t="shared" si="2"/>
        <v>0</v>
      </c>
    </row>
    <row r="19" spans="4:15" x14ac:dyDescent="0.35">
      <c r="D19">
        <v>105</v>
      </c>
      <c r="E19">
        <v>0.9</v>
      </c>
      <c r="F19">
        <f t="shared" si="0"/>
        <v>0</v>
      </c>
      <c r="G19">
        <v>800</v>
      </c>
      <c r="H19">
        <v>2.5</v>
      </c>
      <c r="I19">
        <f t="shared" si="1"/>
        <v>0</v>
      </c>
      <c r="J19">
        <v>400</v>
      </c>
      <c r="K19">
        <v>2.6</v>
      </c>
      <c r="L19">
        <f t="shared" si="2"/>
        <v>0</v>
      </c>
    </row>
    <row r="20" spans="4:15" x14ac:dyDescent="0.35">
      <c r="I20">
        <f t="shared" si="1"/>
        <v>0</v>
      </c>
      <c r="J20">
        <v>800</v>
      </c>
      <c r="K20">
        <v>2.9</v>
      </c>
      <c r="L20">
        <f t="shared" si="2"/>
        <v>0</v>
      </c>
    </row>
    <row r="22" spans="4:15" x14ac:dyDescent="0.35">
      <c r="F22">
        <f>SUM(F10:F21)</f>
        <v>0.7</v>
      </c>
      <c r="I22">
        <f>SUM(I10:I21)</f>
        <v>1.8</v>
      </c>
      <c r="L22">
        <f>SUM(L10:L21)</f>
        <v>2</v>
      </c>
      <c r="O22">
        <f>SUM(O10:O21)</f>
        <v>12.1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96"/>
  <sheetViews>
    <sheetView topLeftCell="A25" workbookViewId="0">
      <selection activeCell="K27" sqref="K27"/>
    </sheetView>
  </sheetViews>
  <sheetFormatPr defaultRowHeight="14.5" x14ac:dyDescent="0.35"/>
  <cols>
    <col min="5" max="9" width="9.1796875" customWidth="1"/>
    <col min="11" max="11" width="9.54296875" bestFit="1" customWidth="1"/>
  </cols>
  <sheetData>
    <row r="1" spans="1:18" x14ac:dyDescent="0.35">
      <c r="A1" t="s">
        <v>108</v>
      </c>
    </row>
    <row r="3" spans="1:18" x14ac:dyDescent="0.35">
      <c r="B3" t="s">
        <v>109</v>
      </c>
    </row>
    <row r="5" spans="1:18" x14ac:dyDescent="0.35">
      <c r="B5" t="s">
        <v>110</v>
      </c>
      <c r="C5" t="s">
        <v>194</v>
      </c>
    </row>
    <row r="6" spans="1:18" x14ac:dyDescent="0.35">
      <c r="C6" t="s">
        <v>195</v>
      </c>
    </row>
    <row r="7" spans="1:18" x14ac:dyDescent="0.35">
      <c r="C7" t="s">
        <v>196</v>
      </c>
    </row>
    <row r="8" spans="1:18" x14ac:dyDescent="0.35">
      <c r="C8" t="s">
        <v>197</v>
      </c>
    </row>
    <row r="9" spans="1:18" x14ac:dyDescent="0.35">
      <c r="C9" t="s">
        <v>198</v>
      </c>
    </row>
    <row r="10" spans="1:18" x14ac:dyDescent="0.35">
      <c r="C10" t="s">
        <v>111</v>
      </c>
    </row>
    <row r="12" spans="1:18" x14ac:dyDescent="0.35">
      <c r="B12" t="s">
        <v>112</v>
      </c>
      <c r="C12" t="s">
        <v>113</v>
      </c>
    </row>
    <row r="13" spans="1:18" x14ac:dyDescent="0.35">
      <c r="C13" t="s">
        <v>114</v>
      </c>
      <c r="K13" s="1">
        <f>36000/24</f>
        <v>1500</v>
      </c>
      <c r="L13" t="s">
        <v>213</v>
      </c>
      <c r="O13">
        <f>36000/25</f>
        <v>1440</v>
      </c>
      <c r="P13" t="s">
        <v>217</v>
      </c>
      <c r="Q13">
        <f>36000/50</f>
        <v>720</v>
      </c>
      <c r="R13" t="s">
        <v>218</v>
      </c>
    </row>
    <row r="14" spans="1:18" x14ac:dyDescent="0.35">
      <c r="C14" t="s">
        <v>115</v>
      </c>
      <c r="K14" s="1">
        <f>4500/24</f>
        <v>187.5</v>
      </c>
      <c r="L14" t="s">
        <v>213</v>
      </c>
      <c r="O14">
        <f>4500/25</f>
        <v>180</v>
      </c>
      <c r="P14" t="s">
        <v>217</v>
      </c>
      <c r="Q14">
        <f>4500/50</f>
        <v>90</v>
      </c>
      <c r="R14" t="s">
        <v>218</v>
      </c>
    </row>
    <row r="15" spans="1:18" x14ac:dyDescent="0.35">
      <c r="C15" t="s">
        <v>116</v>
      </c>
      <c r="K15" s="1">
        <f>2300/24</f>
        <v>95.833333333333329</v>
      </c>
      <c r="L15" t="s">
        <v>213</v>
      </c>
      <c r="O15">
        <f>2300/25</f>
        <v>92</v>
      </c>
      <c r="P15" t="s">
        <v>217</v>
      </c>
      <c r="Q15">
        <f>2300/50</f>
        <v>46</v>
      </c>
      <c r="R15" t="s">
        <v>218</v>
      </c>
    </row>
    <row r="16" spans="1:18" x14ac:dyDescent="0.35">
      <c r="C16" t="s">
        <v>117</v>
      </c>
    </row>
    <row r="17" spans="2:18" x14ac:dyDescent="0.35">
      <c r="C17" t="s">
        <v>118</v>
      </c>
    </row>
    <row r="19" spans="2:18" x14ac:dyDescent="0.35">
      <c r="B19" t="s">
        <v>119</v>
      </c>
      <c r="C19" t="s">
        <v>120</v>
      </c>
    </row>
    <row r="21" spans="2:18" x14ac:dyDescent="0.35">
      <c r="B21" t="s">
        <v>121</v>
      </c>
      <c r="C21" t="s">
        <v>122</v>
      </c>
    </row>
    <row r="22" spans="2:18" x14ac:dyDescent="0.35">
      <c r="C22" t="s">
        <v>123</v>
      </c>
    </row>
    <row r="23" spans="2:18" x14ac:dyDescent="0.35">
      <c r="C23" t="s">
        <v>124</v>
      </c>
    </row>
    <row r="25" spans="2:18" x14ac:dyDescent="0.35">
      <c r="C25" s="51" t="s">
        <v>129</v>
      </c>
      <c r="D25" s="52"/>
      <c r="E25" s="52"/>
      <c r="F25" s="52"/>
      <c r="G25" s="52"/>
      <c r="H25" s="52"/>
      <c r="I25" s="53"/>
    </row>
    <row r="26" spans="2:18" x14ac:dyDescent="0.35">
      <c r="C26" s="54" t="s">
        <v>125</v>
      </c>
      <c r="D26" s="55"/>
      <c r="E26" s="55"/>
      <c r="F26" s="55"/>
      <c r="G26" s="55"/>
      <c r="H26" s="55"/>
      <c r="I26" s="56"/>
    </row>
    <row r="27" spans="2:18" ht="29" x14ac:dyDescent="0.35">
      <c r="C27" s="54"/>
      <c r="D27" s="55"/>
      <c r="E27" s="60" t="s">
        <v>127</v>
      </c>
      <c r="F27" s="60"/>
      <c r="G27" s="55"/>
      <c r="H27" s="60" t="s">
        <v>131</v>
      </c>
      <c r="I27" s="59"/>
    </row>
    <row r="28" spans="2:18" x14ac:dyDescent="0.35">
      <c r="C28" s="44" t="s">
        <v>126</v>
      </c>
      <c r="D28" s="44"/>
      <c r="E28" s="57" t="s">
        <v>128</v>
      </c>
      <c r="F28" s="58"/>
      <c r="G28" s="44"/>
      <c r="H28" s="57" t="s">
        <v>128</v>
      </c>
      <c r="I28" s="58"/>
    </row>
    <row r="29" spans="2:18" x14ac:dyDescent="0.35">
      <c r="C29" s="57">
        <v>3</v>
      </c>
      <c r="D29" s="58"/>
      <c r="E29" s="57">
        <v>1150</v>
      </c>
      <c r="F29" s="58"/>
      <c r="G29" s="44"/>
      <c r="H29" s="57">
        <v>2300</v>
      </c>
      <c r="I29" s="58"/>
      <c r="K29" s="1">
        <f>2300/24</f>
        <v>95.833333333333329</v>
      </c>
      <c r="L29" t="s">
        <v>213</v>
      </c>
      <c r="O29">
        <f>2300/25</f>
        <v>92</v>
      </c>
      <c r="P29" t="s">
        <v>217</v>
      </c>
      <c r="Q29">
        <f>2300/50</f>
        <v>46</v>
      </c>
      <c r="R29" t="s">
        <v>218</v>
      </c>
    </row>
    <row r="30" spans="2:18" x14ac:dyDescent="0.35">
      <c r="C30" s="57">
        <v>2</v>
      </c>
      <c r="D30" s="58"/>
      <c r="E30" s="57">
        <v>2250</v>
      </c>
      <c r="F30" s="58"/>
      <c r="G30" s="44"/>
      <c r="H30" s="57">
        <v>4500</v>
      </c>
      <c r="I30" s="58"/>
      <c r="K30" s="1">
        <f>4500/24</f>
        <v>187.5</v>
      </c>
      <c r="L30" t="s">
        <v>213</v>
      </c>
      <c r="O30">
        <f>4500/25</f>
        <v>180</v>
      </c>
      <c r="P30" t="s">
        <v>217</v>
      </c>
      <c r="Q30">
        <f>4500/50</f>
        <v>90</v>
      </c>
      <c r="R30" t="s">
        <v>218</v>
      </c>
    </row>
    <row r="31" spans="2:18" x14ac:dyDescent="0.35">
      <c r="C31" s="57">
        <v>1</v>
      </c>
      <c r="D31" s="58"/>
      <c r="E31" s="57">
        <v>18000</v>
      </c>
      <c r="F31" s="58"/>
      <c r="G31" s="44"/>
      <c r="H31" s="57" t="s">
        <v>130</v>
      </c>
      <c r="I31" s="58"/>
      <c r="K31" s="1"/>
    </row>
    <row r="33" spans="4:4" x14ac:dyDescent="0.35">
      <c r="D33" s="61" t="s">
        <v>132</v>
      </c>
    </row>
    <row r="34" spans="4:4" x14ac:dyDescent="0.35">
      <c r="D34" t="s">
        <v>133</v>
      </c>
    </row>
    <row r="35" spans="4:4" x14ac:dyDescent="0.35">
      <c r="D35" t="s">
        <v>134</v>
      </c>
    </row>
    <row r="36" spans="4:4" x14ac:dyDescent="0.35">
      <c r="D36" s="41" t="s">
        <v>135</v>
      </c>
    </row>
    <row r="37" spans="4:4" x14ac:dyDescent="0.35">
      <c r="D37" s="41" t="s">
        <v>136</v>
      </c>
    </row>
    <row r="39" spans="4:4" x14ac:dyDescent="0.35">
      <c r="D39" s="61" t="s">
        <v>137</v>
      </c>
    </row>
    <row r="40" spans="4:4" x14ac:dyDescent="0.35">
      <c r="D40" t="s">
        <v>138</v>
      </c>
    </row>
    <row r="41" spans="4:4" x14ac:dyDescent="0.35">
      <c r="D41" s="41" t="s">
        <v>139</v>
      </c>
    </row>
    <row r="42" spans="4:4" x14ac:dyDescent="0.35">
      <c r="D42" t="s">
        <v>140</v>
      </c>
    </row>
    <row r="43" spans="4:4" x14ac:dyDescent="0.35">
      <c r="D43" t="s">
        <v>141</v>
      </c>
    </row>
    <row r="45" spans="4:4" x14ac:dyDescent="0.35">
      <c r="D45" s="61" t="s">
        <v>142</v>
      </c>
    </row>
    <row r="46" spans="4:4" x14ac:dyDescent="0.35">
      <c r="D46" s="41" t="s">
        <v>143</v>
      </c>
    </row>
    <row r="47" spans="4:4" x14ac:dyDescent="0.35">
      <c r="D47" t="s">
        <v>144</v>
      </c>
    </row>
    <row r="48" spans="4:4" x14ac:dyDescent="0.35">
      <c r="D48" s="41" t="s">
        <v>145</v>
      </c>
    </row>
    <row r="50" spans="2:4" x14ac:dyDescent="0.35">
      <c r="B50" t="s">
        <v>146</v>
      </c>
      <c r="C50" t="s">
        <v>188</v>
      </c>
    </row>
    <row r="51" spans="2:4" x14ac:dyDescent="0.35">
      <c r="D51" t="s">
        <v>147</v>
      </c>
    </row>
    <row r="52" spans="2:4" x14ac:dyDescent="0.35">
      <c r="D52" t="s">
        <v>148</v>
      </c>
    </row>
    <row r="53" spans="2:4" x14ac:dyDescent="0.35">
      <c r="D53" t="s">
        <v>149</v>
      </c>
    </row>
    <row r="54" spans="2:4" x14ac:dyDescent="0.35">
      <c r="D54" t="s">
        <v>150</v>
      </c>
    </row>
    <row r="55" spans="2:4" x14ac:dyDescent="0.35">
      <c r="D55" t="s">
        <v>151</v>
      </c>
    </row>
    <row r="56" spans="2:4" x14ac:dyDescent="0.35">
      <c r="D56" t="s">
        <v>152</v>
      </c>
    </row>
    <row r="57" spans="2:4" x14ac:dyDescent="0.35">
      <c r="D57" t="s">
        <v>153</v>
      </c>
    </row>
    <row r="58" spans="2:4" x14ac:dyDescent="0.35">
      <c r="D58" t="s">
        <v>154</v>
      </c>
    </row>
    <row r="59" spans="2:4" x14ac:dyDescent="0.35">
      <c r="D59" t="s">
        <v>155</v>
      </c>
    </row>
    <row r="60" spans="2:4" x14ac:dyDescent="0.35">
      <c r="D60" t="s">
        <v>156</v>
      </c>
    </row>
    <row r="61" spans="2:4" x14ac:dyDescent="0.35">
      <c r="D61" t="s">
        <v>157</v>
      </c>
    </row>
    <row r="62" spans="2:4" x14ac:dyDescent="0.35">
      <c r="D62" t="s">
        <v>158</v>
      </c>
    </row>
    <row r="63" spans="2:4" x14ac:dyDescent="0.35">
      <c r="D63" t="s">
        <v>159</v>
      </c>
    </row>
    <row r="64" spans="2:4" x14ac:dyDescent="0.35">
      <c r="D64" t="s">
        <v>160</v>
      </c>
    </row>
    <row r="65" spans="2:4" x14ac:dyDescent="0.35">
      <c r="D65" t="s">
        <v>161</v>
      </c>
    </row>
    <row r="66" spans="2:4" x14ac:dyDescent="0.35">
      <c r="D66" t="s">
        <v>162</v>
      </c>
    </row>
    <row r="67" spans="2:4" x14ac:dyDescent="0.35">
      <c r="D67" t="s">
        <v>163</v>
      </c>
    </row>
    <row r="69" spans="2:4" x14ac:dyDescent="0.35">
      <c r="B69" t="s">
        <v>183</v>
      </c>
      <c r="C69" s="41" t="s">
        <v>184</v>
      </c>
    </row>
    <row r="70" spans="2:4" x14ac:dyDescent="0.35">
      <c r="C70" t="s">
        <v>164</v>
      </c>
    </row>
    <row r="71" spans="2:4" x14ac:dyDescent="0.35">
      <c r="C71" t="s">
        <v>165</v>
      </c>
    </row>
    <row r="72" spans="2:4" x14ac:dyDescent="0.35">
      <c r="C72" t="s">
        <v>166</v>
      </c>
    </row>
    <row r="73" spans="2:4" x14ac:dyDescent="0.35">
      <c r="C73" t="s">
        <v>167</v>
      </c>
    </row>
    <row r="74" spans="2:4" x14ac:dyDescent="0.35">
      <c r="C74" t="s">
        <v>168</v>
      </c>
    </row>
    <row r="75" spans="2:4" x14ac:dyDescent="0.35">
      <c r="C75" t="s">
        <v>169</v>
      </c>
    </row>
    <row r="77" spans="2:4" x14ac:dyDescent="0.35">
      <c r="B77" t="s">
        <v>185</v>
      </c>
      <c r="C77" t="s">
        <v>189</v>
      </c>
    </row>
    <row r="78" spans="2:4" x14ac:dyDescent="0.35">
      <c r="C78" t="s">
        <v>170</v>
      </c>
    </row>
    <row r="79" spans="2:4" x14ac:dyDescent="0.35">
      <c r="C79" t="s">
        <v>171</v>
      </c>
    </row>
    <row r="80" spans="2:4" x14ac:dyDescent="0.35">
      <c r="C80" t="s">
        <v>172</v>
      </c>
    </row>
    <row r="81" spans="2:3" x14ac:dyDescent="0.35">
      <c r="C81" t="s">
        <v>173</v>
      </c>
    </row>
    <row r="82" spans="2:3" x14ac:dyDescent="0.35">
      <c r="C82" t="s">
        <v>174</v>
      </c>
    </row>
    <row r="84" spans="2:3" x14ac:dyDescent="0.35">
      <c r="B84" t="s">
        <v>186</v>
      </c>
      <c r="C84" t="s">
        <v>190</v>
      </c>
    </row>
    <row r="85" spans="2:3" x14ac:dyDescent="0.35">
      <c r="C85" t="s">
        <v>175</v>
      </c>
    </row>
    <row r="86" spans="2:3" x14ac:dyDescent="0.35">
      <c r="C86" t="s">
        <v>176</v>
      </c>
    </row>
    <row r="87" spans="2:3" x14ac:dyDescent="0.35">
      <c r="C87" t="s">
        <v>177</v>
      </c>
    </row>
    <row r="88" spans="2:3" x14ac:dyDescent="0.35">
      <c r="C88" t="s">
        <v>192</v>
      </c>
    </row>
    <row r="89" spans="2:3" x14ac:dyDescent="0.35">
      <c r="C89" t="s">
        <v>191</v>
      </c>
    </row>
    <row r="91" spans="2:3" x14ac:dyDescent="0.35">
      <c r="B91" t="s">
        <v>187</v>
      </c>
      <c r="C91" t="s">
        <v>193</v>
      </c>
    </row>
    <row r="92" spans="2:3" x14ac:dyDescent="0.35">
      <c r="C92" t="s">
        <v>178</v>
      </c>
    </row>
    <row r="93" spans="2:3" x14ac:dyDescent="0.35">
      <c r="C93" t="s">
        <v>179</v>
      </c>
    </row>
    <row r="94" spans="2:3" x14ac:dyDescent="0.35">
      <c r="C94" t="s">
        <v>180</v>
      </c>
    </row>
    <row r="95" spans="2:3" x14ac:dyDescent="0.35">
      <c r="C95" t="s">
        <v>181</v>
      </c>
    </row>
    <row r="96" spans="2:3" x14ac:dyDescent="0.35">
      <c r="C96" t="s">
        <v>182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 fitToPage="1"/>
  </sheetPr>
  <dimension ref="B6:K43"/>
  <sheetViews>
    <sheetView workbookViewId="0">
      <selection activeCell="K18" sqref="K18"/>
    </sheetView>
  </sheetViews>
  <sheetFormatPr defaultColWidth="8.81640625" defaultRowHeight="15.5" x14ac:dyDescent="0.35"/>
  <cols>
    <col min="3" max="3" width="33.1796875" style="13" customWidth="1"/>
    <col min="4" max="4" width="12.453125" style="13" customWidth="1"/>
    <col min="5" max="5" width="7.54296875" customWidth="1"/>
    <col min="6" max="6" width="5.54296875" customWidth="1"/>
    <col min="7" max="7" width="11.81640625" customWidth="1"/>
    <col min="8" max="8" width="4" customWidth="1"/>
    <col min="9" max="9" width="11.81640625" customWidth="1"/>
    <col min="10" max="10" width="4" customWidth="1"/>
    <col min="11" max="11" width="7.26953125" customWidth="1"/>
  </cols>
  <sheetData>
    <row r="6" spans="2:9" ht="16" thickBot="1" x14ac:dyDescent="0.4"/>
    <row r="7" spans="2:9" x14ac:dyDescent="0.35">
      <c r="B7" s="15"/>
      <c r="C7" s="16"/>
      <c r="D7" s="16"/>
      <c r="E7" s="17"/>
      <c r="F7" s="17"/>
      <c r="G7" s="17"/>
      <c r="H7" s="17"/>
      <c r="I7" s="18"/>
    </row>
    <row r="8" spans="2:9" x14ac:dyDescent="0.35">
      <c r="B8" s="19"/>
      <c r="C8" s="20" t="s">
        <v>11</v>
      </c>
      <c r="D8" s="21">
        <v>20000</v>
      </c>
      <c r="E8" s="46">
        <f>D8/10000</f>
        <v>2</v>
      </c>
      <c r="F8" s="22"/>
      <c r="G8" s="22"/>
      <c r="H8" s="22"/>
      <c r="I8" s="23"/>
    </row>
    <row r="9" spans="2:9" x14ac:dyDescent="0.35">
      <c r="B9" s="19"/>
      <c r="C9" s="20"/>
      <c r="D9" s="20"/>
      <c r="E9" s="22"/>
      <c r="F9" s="22"/>
      <c r="G9" s="22"/>
      <c r="H9" s="22"/>
      <c r="I9" s="23"/>
    </row>
    <row r="10" spans="2:9" x14ac:dyDescent="0.35">
      <c r="B10" s="19"/>
      <c r="C10" s="20" t="s">
        <v>1</v>
      </c>
      <c r="D10" s="24">
        <v>2</v>
      </c>
      <c r="E10" s="22"/>
      <c r="F10" s="22"/>
      <c r="G10" s="22"/>
      <c r="H10" s="22"/>
      <c r="I10" s="23"/>
    </row>
    <row r="11" spans="2:9" x14ac:dyDescent="0.35">
      <c r="B11" s="19"/>
      <c r="C11" s="20" t="s">
        <v>0</v>
      </c>
      <c r="D11" s="14">
        <v>0.91</v>
      </c>
      <c r="E11" s="22"/>
      <c r="F11" s="22"/>
      <c r="G11" s="22"/>
      <c r="H11" s="22"/>
      <c r="I11" s="23"/>
    </row>
    <row r="12" spans="2:9" x14ac:dyDescent="0.35">
      <c r="B12" s="19"/>
      <c r="C12" s="20" t="s">
        <v>12</v>
      </c>
      <c r="D12" s="25">
        <f>D10-D11</f>
        <v>1.0899999999999999</v>
      </c>
      <c r="E12" s="22"/>
      <c r="F12" s="22"/>
      <c r="G12" s="22"/>
      <c r="H12" s="22"/>
      <c r="I12" s="23"/>
    </row>
    <row r="13" spans="2:9" ht="16" thickBot="1" x14ac:dyDescent="0.4">
      <c r="B13" s="19"/>
      <c r="C13" s="20"/>
      <c r="D13" s="20"/>
      <c r="E13" s="22"/>
      <c r="F13" s="22"/>
      <c r="G13" s="22"/>
      <c r="H13" s="22"/>
      <c r="I13" s="23"/>
    </row>
    <row r="14" spans="2:9" ht="16" thickBot="1" x14ac:dyDescent="0.4">
      <c r="B14" s="19"/>
      <c r="C14" s="20" t="s">
        <v>8</v>
      </c>
      <c r="D14" s="90">
        <f>D12*10-D11</f>
        <v>9.9899999999999984</v>
      </c>
      <c r="E14" s="22" t="s">
        <v>209</v>
      </c>
      <c r="F14" s="22"/>
      <c r="G14" s="22"/>
      <c r="H14" s="22"/>
      <c r="I14" s="23"/>
    </row>
    <row r="15" spans="2:9" x14ac:dyDescent="0.35">
      <c r="B15" s="19"/>
      <c r="C15" s="20"/>
      <c r="D15" s="20"/>
      <c r="E15" s="22"/>
      <c r="F15" s="22"/>
      <c r="G15" s="22"/>
      <c r="H15" s="22"/>
      <c r="I15" s="23"/>
    </row>
    <row r="16" spans="2:9" x14ac:dyDescent="0.35">
      <c r="B16" s="19"/>
      <c r="C16" s="20" t="s">
        <v>2</v>
      </c>
      <c r="D16" s="26">
        <f>($D$14*$E$8*F16)/H16</f>
        <v>2.4974999999999996</v>
      </c>
      <c r="E16" s="22" t="s">
        <v>6</v>
      </c>
      <c r="F16" s="27">
        <v>2</v>
      </c>
      <c r="G16" s="22" t="s">
        <v>3</v>
      </c>
      <c r="H16" s="22">
        <v>16</v>
      </c>
      <c r="I16" s="23"/>
    </row>
    <row r="17" spans="2:11" x14ac:dyDescent="0.35">
      <c r="B17" s="19"/>
      <c r="C17" s="20" t="s">
        <v>92</v>
      </c>
      <c r="D17" s="26">
        <f>($D$14*$E$8*F17)/H17</f>
        <v>2.2477499999999999</v>
      </c>
      <c r="E17" s="22" t="s">
        <v>6</v>
      </c>
      <c r="F17" s="27">
        <v>1.8</v>
      </c>
      <c r="G17" s="22" t="s">
        <v>3</v>
      </c>
      <c r="H17" s="22">
        <v>16</v>
      </c>
      <c r="I17" s="23"/>
    </row>
    <row r="18" spans="2:11" x14ac:dyDescent="0.35">
      <c r="B18" s="19"/>
      <c r="C18" s="20" t="s">
        <v>4</v>
      </c>
      <c r="D18" s="26">
        <f t="shared" ref="D18:D20" si="0">($D$14*$E$8*F18)/H18</f>
        <v>1.6702031249999996</v>
      </c>
      <c r="E18" s="22" t="s">
        <v>7</v>
      </c>
      <c r="F18" s="27">
        <v>10.7</v>
      </c>
      <c r="G18" s="22" t="s">
        <v>5</v>
      </c>
      <c r="H18" s="22">
        <v>128</v>
      </c>
      <c r="I18" s="23"/>
    </row>
    <row r="19" spans="2:11" x14ac:dyDescent="0.35">
      <c r="B19" s="19"/>
      <c r="C19" s="20" t="s">
        <v>9</v>
      </c>
      <c r="D19" s="26">
        <f t="shared" si="0"/>
        <v>2.6223749999999999</v>
      </c>
      <c r="E19" s="22" t="s">
        <v>6</v>
      </c>
      <c r="F19" s="27">
        <v>2.1</v>
      </c>
      <c r="G19" s="22" t="s">
        <v>3</v>
      </c>
      <c r="H19" s="22">
        <v>16</v>
      </c>
      <c r="I19" s="23"/>
    </row>
    <row r="20" spans="2:11" x14ac:dyDescent="0.35">
      <c r="B20" s="19"/>
      <c r="C20" s="20" t="s">
        <v>10</v>
      </c>
      <c r="D20" s="26">
        <f t="shared" si="0"/>
        <v>2.9969999999999994</v>
      </c>
      <c r="E20" s="22" t="s">
        <v>6</v>
      </c>
      <c r="F20" s="27">
        <v>2.4</v>
      </c>
      <c r="G20" s="22" t="s">
        <v>3</v>
      </c>
      <c r="H20" s="22">
        <v>16</v>
      </c>
      <c r="I20" s="23"/>
    </row>
    <row r="21" spans="2:11" ht="16" thickBot="1" x14ac:dyDescent="0.4">
      <c r="B21" s="28"/>
      <c r="C21" s="29"/>
      <c r="D21" s="29"/>
      <c r="E21" s="30"/>
      <c r="F21" s="31"/>
      <c r="G21" s="30"/>
      <c r="H21" s="30"/>
      <c r="I21" s="32"/>
    </row>
    <row r="22" spans="2:11" ht="16" thickBot="1" x14ac:dyDescent="0.4">
      <c r="B22" s="22"/>
      <c r="C22" s="20"/>
      <c r="D22" s="20"/>
      <c r="E22" s="22"/>
      <c r="F22" s="27"/>
      <c r="G22" s="22"/>
      <c r="H22" s="22"/>
      <c r="I22" s="22"/>
    </row>
    <row r="23" spans="2:11" x14ac:dyDescent="0.35">
      <c r="B23" s="15"/>
      <c r="C23" s="16" t="s">
        <v>13</v>
      </c>
      <c r="D23" s="33">
        <v>0</v>
      </c>
      <c r="E23" s="17"/>
      <c r="F23" s="34"/>
      <c r="G23" s="17"/>
      <c r="H23" s="17"/>
      <c r="I23" s="18"/>
    </row>
    <row r="24" spans="2:11" x14ac:dyDescent="0.35">
      <c r="B24" s="19"/>
      <c r="C24" s="20"/>
      <c r="D24" s="35"/>
      <c r="E24" s="22"/>
      <c r="F24" s="27"/>
      <c r="G24" s="22"/>
      <c r="H24" s="22"/>
      <c r="I24" s="23"/>
    </row>
    <row r="25" spans="2:11" x14ac:dyDescent="0.35">
      <c r="B25" s="19"/>
      <c r="C25" s="20" t="s">
        <v>18</v>
      </c>
      <c r="D25" s="47">
        <v>93</v>
      </c>
      <c r="E25" s="22"/>
      <c r="F25" s="27"/>
      <c r="G25" s="22"/>
      <c r="H25" s="22"/>
      <c r="I25" s="23"/>
    </row>
    <row r="26" spans="2:11" ht="16" thickBot="1" x14ac:dyDescent="0.4">
      <c r="B26" s="19"/>
      <c r="C26" s="20"/>
      <c r="D26" s="35"/>
      <c r="E26" s="22"/>
      <c r="F26" s="27"/>
      <c r="G26" s="22"/>
      <c r="H26" s="22"/>
      <c r="I26" s="23"/>
    </row>
    <row r="27" spans="2:11" ht="16" thickBot="1" x14ac:dyDescent="0.4">
      <c r="B27" s="19"/>
      <c r="C27" s="20" t="s">
        <v>19</v>
      </c>
      <c r="D27" s="89">
        <f>D25-D23</f>
        <v>93</v>
      </c>
      <c r="E27" s="22"/>
      <c r="F27" s="27"/>
      <c r="G27" s="22"/>
      <c r="H27" s="22"/>
      <c r="I27" s="23"/>
    </row>
    <row r="28" spans="2:11" x14ac:dyDescent="0.35">
      <c r="B28" s="19"/>
      <c r="C28" s="20"/>
      <c r="D28" s="20"/>
      <c r="E28" s="22"/>
      <c r="F28" s="27"/>
      <c r="G28" s="22"/>
      <c r="H28" s="22"/>
      <c r="I28" s="23"/>
    </row>
    <row r="29" spans="2:11" x14ac:dyDescent="0.35">
      <c r="B29" s="19"/>
      <c r="C29" s="20" t="s">
        <v>15</v>
      </c>
      <c r="D29" s="36">
        <f>F29*($D$27/10)*$E$8</f>
        <v>26.04</v>
      </c>
      <c r="E29" s="22" t="s">
        <v>17</v>
      </c>
      <c r="F29" s="27">
        <v>1.4</v>
      </c>
      <c r="G29" s="22" t="s">
        <v>17</v>
      </c>
      <c r="H29" s="22">
        <v>1</v>
      </c>
      <c r="I29" s="23"/>
    </row>
    <row r="30" spans="2:11" x14ac:dyDescent="0.35">
      <c r="B30" s="19"/>
      <c r="C30" s="20" t="s">
        <v>14</v>
      </c>
      <c r="D30" s="36">
        <f>(F30*($D$27/10)*$E$8)/H30</f>
        <v>16.275000000000002</v>
      </c>
      <c r="E30" s="22" t="s">
        <v>17</v>
      </c>
      <c r="F30" s="27">
        <v>14</v>
      </c>
      <c r="G30" s="22" t="s">
        <v>3</v>
      </c>
      <c r="H30" s="22">
        <v>16</v>
      </c>
      <c r="I30" s="23"/>
      <c r="K30" s="11"/>
    </row>
    <row r="31" spans="2:11" x14ac:dyDescent="0.35">
      <c r="B31" s="19"/>
      <c r="C31" s="20" t="s">
        <v>16</v>
      </c>
      <c r="D31" s="36">
        <f>F31*($D$27/10)*$E$8</f>
        <v>23.25</v>
      </c>
      <c r="E31" s="22" t="s">
        <v>17</v>
      </c>
      <c r="F31" s="27">
        <v>1.25</v>
      </c>
      <c r="G31" s="22" t="s">
        <v>17</v>
      </c>
      <c r="H31" s="22">
        <v>1</v>
      </c>
      <c r="I31" s="23"/>
    </row>
    <row r="32" spans="2:11" x14ac:dyDescent="0.35">
      <c r="B32" s="19"/>
      <c r="C32" s="20" t="s">
        <v>87</v>
      </c>
      <c r="D32" s="36">
        <f>1*(D8/5000)*(D27/15)</f>
        <v>24.8</v>
      </c>
      <c r="E32" s="22" t="s">
        <v>17</v>
      </c>
      <c r="F32" s="27">
        <v>10.67</v>
      </c>
      <c r="G32" s="22" t="s">
        <v>3</v>
      </c>
      <c r="H32" s="22">
        <v>16</v>
      </c>
      <c r="I32" s="23"/>
    </row>
    <row r="33" spans="2:9" ht="16" thickBot="1" x14ac:dyDescent="0.4">
      <c r="B33" s="28"/>
      <c r="C33" s="29"/>
      <c r="D33" s="29"/>
      <c r="E33" s="30"/>
      <c r="F33" s="30"/>
      <c r="G33" s="30"/>
      <c r="H33" s="30"/>
      <c r="I33" s="32"/>
    </row>
    <row r="34" spans="2:9" ht="16" thickBot="1" x14ac:dyDescent="0.4"/>
    <row r="35" spans="2:9" x14ac:dyDescent="0.35">
      <c r="B35" s="15"/>
      <c r="C35" s="16" t="s">
        <v>22</v>
      </c>
      <c r="D35" s="33">
        <v>131</v>
      </c>
      <c r="E35" s="17"/>
      <c r="F35" s="34"/>
      <c r="G35" s="17"/>
      <c r="H35" s="17"/>
      <c r="I35" s="18"/>
    </row>
    <row r="36" spans="2:9" x14ac:dyDescent="0.35">
      <c r="B36" s="19"/>
      <c r="C36" s="20"/>
      <c r="D36" s="35"/>
      <c r="E36" s="22"/>
      <c r="F36" s="27"/>
      <c r="G36" s="22"/>
      <c r="H36" s="22"/>
      <c r="I36" s="23"/>
    </row>
    <row r="37" spans="2:9" x14ac:dyDescent="0.35">
      <c r="B37" s="19"/>
      <c r="C37" s="20" t="s">
        <v>23</v>
      </c>
      <c r="D37" s="35">
        <v>220</v>
      </c>
      <c r="E37" s="22"/>
      <c r="F37" s="27"/>
      <c r="G37" s="22"/>
      <c r="H37" s="22"/>
      <c r="I37" s="23"/>
    </row>
    <row r="38" spans="2:9" ht="16" thickBot="1" x14ac:dyDescent="0.4">
      <c r="B38" s="19"/>
      <c r="C38" s="20"/>
      <c r="D38" s="35"/>
      <c r="E38" s="22"/>
      <c r="F38" s="27"/>
      <c r="G38" s="22"/>
      <c r="H38" s="22"/>
      <c r="I38" s="23"/>
    </row>
    <row r="39" spans="2:9" ht="16" thickBot="1" x14ac:dyDescent="0.4">
      <c r="B39" s="19"/>
      <c r="C39" s="20" t="s">
        <v>19</v>
      </c>
      <c r="D39" s="89">
        <f>D37-D35</f>
        <v>89</v>
      </c>
      <c r="E39" s="22"/>
      <c r="F39" s="27"/>
      <c r="G39" s="22"/>
      <c r="H39" s="22"/>
      <c r="I39" s="23"/>
    </row>
    <row r="40" spans="2:9" x14ac:dyDescent="0.35">
      <c r="B40" s="19"/>
      <c r="C40" s="20"/>
      <c r="D40" s="20"/>
      <c r="E40" s="22"/>
      <c r="F40" s="27"/>
      <c r="G40" s="22"/>
      <c r="H40" s="22"/>
      <c r="I40" s="23"/>
    </row>
    <row r="41" spans="2:9" x14ac:dyDescent="0.35">
      <c r="B41" s="19"/>
      <c r="C41" s="20" t="s">
        <v>20</v>
      </c>
      <c r="D41" s="36">
        <f>F41*($D$39/10)*$E$8</f>
        <v>16.02</v>
      </c>
      <c r="E41" s="22" t="s">
        <v>17</v>
      </c>
      <c r="F41" s="27">
        <v>0.9</v>
      </c>
      <c r="G41" s="22" t="s">
        <v>17</v>
      </c>
      <c r="H41" s="22">
        <v>1</v>
      </c>
      <c r="I41" s="23"/>
    </row>
    <row r="42" spans="2:9" x14ac:dyDescent="0.35">
      <c r="B42" s="19"/>
      <c r="C42" s="20" t="s">
        <v>21</v>
      </c>
      <c r="D42" s="36">
        <f>F42*($D$39/10)*$E$8</f>
        <v>21.36</v>
      </c>
      <c r="E42" s="22" t="s">
        <v>17</v>
      </c>
      <c r="F42" s="27">
        <v>1.2</v>
      </c>
      <c r="G42" s="22" t="s">
        <v>17</v>
      </c>
      <c r="H42" s="22">
        <v>1</v>
      </c>
      <c r="I42" s="23"/>
    </row>
    <row r="43" spans="2:9" ht="16" thickBot="1" x14ac:dyDescent="0.4">
      <c r="B43" s="28"/>
      <c r="C43" s="29"/>
      <c r="D43" s="29"/>
      <c r="E43" s="30"/>
      <c r="F43" s="30"/>
      <c r="G43" s="30"/>
      <c r="H43" s="30"/>
      <c r="I43" s="32"/>
    </row>
  </sheetData>
  <pageMargins left="0.7" right="0.7" top="0.75" bottom="0.75" header="0.3" footer="0.3"/>
  <pageSetup scale="8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B10"/>
  <sheetViews>
    <sheetView workbookViewId="0">
      <selection activeCell="A5" sqref="A5:B10"/>
    </sheetView>
  </sheetViews>
  <sheetFormatPr defaultRowHeight="14.5" x14ac:dyDescent="0.35"/>
  <cols>
    <col min="1" max="1" width="35.1796875" bestFit="1" customWidth="1"/>
    <col min="2" max="2" width="24.453125" bestFit="1" customWidth="1"/>
    <col min="3" max="3" width="27" bestFit="1" customWidth="1"/>
    <col min="4" max="4" width="36.7265625" customWidth="1"/>
    <col min="5" max="6" width="23" customWidth="1"/>
  </cols>
  <sheetData>
    <row r="5" spans="1:2" x14ac:dyDescent="0.35">
      <c r="A5" s="49" t="s">
        <v>214</v>
      </c>
      <c r="B5" s="7" t="s">
        <v>215</v>
      </c>
    </row>
    <row r="6" spans="1:2" ht="29" x14ac:dyDescent="0.35">
      <c r="A6" s="50" t="s">
        <v>104</v>
      </c>
      <c r="B6" s="7" t="s">
        <v>98</v>
      </c>
    </row>
    <row r="7" spans="1:2" ht="29" x14ac:dyDescent="0.35">
      <c r="A7" s="50" t="s">
        <v>103</v>
      </c>
      <c r="B7" s="7" t="s">
        <v>99</v>
      </c>
    </row>
    <row r="8" spans="1:2" ht="29" x14ac:dyDescent="0.35">
      <c r="A8" s="50" t="s">
        <v>106</v>
      </c>
      <c r="B8" s="7" t="s">
        <v>100</v>
      </c>
    </row>
    <row r="9" spans="1:2" ht="29" x14ac:dyDescent="0.35">
      <c r="A9" s="50" t="s">
        <v>105</v>
      </c>
      <c r="B9" s="7" t="s">
        <v>101</v>
      </c>
    </row>
    <row r="10" spans="1:2" ht="29" x14ac:dyDescent="0.35">
      <c r="A10" s="50" t="s">
        <v>107</v>
      </c>
      <c r="B10" s="7" t="s">
        <v>102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J25"/>
  <sheetViews>
    <sheetView workbookViewId="0">
      <selection activeCell="F15" sqref="B15:F15"/>
    </sheetView>
  </sheetViews>
  <sheetFormatPr defaultColWidth="8.81640625" defaultRowHeight="14.5" x14ac:dyDescent="0.35"/>
  <cols>
    <col min="2" max="2" width="9.453125" bestFit="1" customWidth="1"/>
    <col min="3" max="3" width="10.7265625" bestFit="1" customWidth="1"/>
    <col min="4" max="4" width="10.453125" bestFit="1" customWidth="1"/>
    <col min="8" max="10" width="10.453125" bestFit="1" customWidth="1"/>
  </cols>
  <sheetData>
    <row r="1" spans="1:10" x14ac:dyDescent="0.35">
      <c r="A1" s="2"/>
      <c r="B1" s="3">
        <v>8000</v>
      </c>
      <c r="C1" s="3">
        <v>10000</v>
      </c>
      <c r="D1" s="3">
        <v>12000</v>
      </c>
      <c r="E1" s="3">
        <v>14000</v>
      </c>
      <c r="F1" s="3">
        <v>16000</v>
      </c>
      <c r="G1" s="3">
        <v>18000</v>
      </c>
      <c r="H1" s="3">
        <v>20000</v>
      </c>
      <c r="I1" s="3">
        <v>22000</v>
      </c>
      <c r="J1" s="4">
        <v>24000</v>
      </c>
    </row>
    <row r="2" spans="1:10" x14ac:dyDescent="0.35">
      <c r="A2" s="5">
        <v>0</v>
      </c>
      <c r="B2" s="7">
        <v>213</v>
      </c>
      <c r="C2" s="7">
        <v>267</v>
      </c>
      <c r="D2" s="7">
        <v>320</v>
      </c>
      <c r="E2" s="7">
        <v>373</v>
      </c>
      <c r="F2" s="7">
        <v>427</v>
      </c>
      <c r="G2" s="7">
        <v>480</v>
      </c>
      <c r="H2" s="7">
        <v>533</v>
      </c>
      <c r="I2" s="7">
        <v>587</v>
      </c>
      <c r="J2" s="8">
        <v>640</v>
      </c>
    </row>
    <row r="3" spans="1:10" x14ac:dyDescent="0.35">
      <c r="A3" s="5">
        <v>200</v>
      </c>
      <c r="B3" s="7">
        <v>200</v>
      </c>
      <c r="C3" s="7">
        <v>250</v>
      </c>
      <c r="D3" s="7">
        <v>300</v>
      </c>
      <c r="E3" s="7">
        <v>350</v>
      </c>
      <c r="F3" s="7">
        <v>400</v>
      </c>
      <c r="G3" s="7">
        <v>450</v>
      </c>
      <c r="H3" s="7">
        <v>500</v>
      </c>
      <c r="I3" s="7">
        <v>550</v>
      </c>
      <c r="J3" s="8">
        <v>600</v>
      </c>
    </row>
    <row r="4" spans="1:10" x14ac:dyDescent="0.35">
      <c r="A4" s="5">
        <v>400</v>
      </c>
      <c r="B4" s="7">
        <v>187</v>
      </c>
      <c r="C4" s="7">
        <v>233</v>
      </c>
      <c r="D4" s="7">
        <v>280</v>
      </c>
      <c r="E4" s="7">
        <v>327</v>
      </c>
      <c r="F4" s="7">
        <v>373</v>
      </c>
      <c r="G4" s="7">
        <v>420</v>
      </c>
      <c r="H4" s="7">
        <v>467</v>
      </c>
      <c r="I4" s="7">
        <v>513</v>
      </c>
      <c r="J4" s="8">
        <v>560</v>
      </c>
    </row>
    <row r="5" spans="1:10" x14ac:dyDescent="0.35">
      <c r="A5" s="5">
        <v>600</v>
      </c>
      <c r="B5" s="7">
        <v>173</v>
      </c>
      <c r="C5" s="7">
        <v>217</v>
      </c>
      <c r="D5" s="7">
        <v>260</v>
      </c>
      <c r="E5" s="7">
        <v>303</v>
      </c>
      <c r="F5" s="7">
        <v>347</v>
      </c>
      <c r="G5" s="7">
        <v>390</v>
      </c>
      <c r="H5" s="7">
        <v>433</v>
      </c>
      <c r="I5" s="7">
        <v>477</v>
      </c>
      <c r="J5" s="8">
        <v>520</v>
      </c>
    </row>
    <row r="6" spans="1:10" x14ac:dyDescent="0.35">
      <c r="A6" s="5">
        <v>800</v>
      </c>
      <c r="B6" s="7">
        <v>160</v>
      </c>
      <c r="C6" s="7">
        <v>200</v>
      </c>
      <c r="D6" s="7">
        <v>240</v>
      </c>
      <c r="E6" s="7">
        <v>280</v>
      </c>
      <c r="F6" s="7">
        <v>320</v>
      </c>
      <c r="G6" s="7">
        <v>360</v>
      </c>
      <c r="H6" s="7">
        <v>400</v>
      </c>
      <c r="I6" s="7">
        <v>440</v>
      </c>
      <c r="J6" s="8">
        <v>480</v>
      </c>
    </row>
    <row r="7" spans="1:10" x14ac:dyDescent="0.35">
      <c r="A7" s="5">
        <v>1000</v>
      </c>
      <c r="B7" s="7">
        <v>147</v>
      </c>
      <c r="C7" s="7">
        <v>183</v>
      </c>
      <c r="D7" s="7">
        <v>220</v>
      </c>
      <c r="E7" s="7">
        <v>257</v>
      </c>
      <c r="F7" s="7">
        <v>293</v>
      </c>
      <c r="G7" s="7">
        <v>330</v>
      </c>
      <c r="H7" s="7">
        <v>367</v>
      </c>
      <c r="I7" s="7">
        <v>403</v>
      </c>
      <c r="J7" s="8">
        <v>440</v>
      </c>
    </row>
    <row r="8" spans="1:10" x14ac:dyDescent="0.35">
      <c r="A8" s="5">
        <v>1200</v>
      </c>
      <c r="B8" s="7">
        <v>133</v>
      </c>
      <c r="C8" s="7">
        <v>167</v>
      </c>
      <c r="D8" s="7">
        <v>200</v>
      </c>
      <c r="E8" s="7">
        <v>233</v>
      </c>
      <c r="F8" s="7">
        <v>267</v>
      </c>
      <c r="G8" s="7">
        <v>300</v>
      </c>
      <c r="H8" s="7">
        <v>333</v>
      </c>
      <c r="I8" s="7">
        <v>367</v>
      </c>
      <c r="J8" s="8">
        <v>400</v>
      </c>
    </row>
    <row r="9" spans="1:10" x14ac:dyDescent="0.35">
      <c r="A9" s="5">
        <v>1400</v>
      </c>
      <c r="B9" s="7">
        <v>120</v>
      </c>
      <c r="C9" s="7">
        <v>150</v>
      </c>
      <c r="D9" s="7">
        <v>180</v>
      </c>
      <c r="E9" s="7">
        <v>210</v>
      </c>
      <c r="F9" s="7">
        <v>240</v>
      </c>
      <c r="G9" s="7">
        <v>270</v>
      </c>
      <c r="H9" s="7">
        <v>300</v>
      </c>
      <c r="I9" s="7">
        <v>330</v>
      </c>
      <c r="J9" s="8">
        <v>360</v>
      </c>
    </row>
    <row r="10" spans="1:10" x14ac:dyDescent="0.35">
      <c r="A10" s="5">
        <v>1600</v>
      </c>
      <c r="B10" s="7">
        <v>107</v>
      </c>
      <c r="C10" s="7">
        <v>133</v>
      </c>
      <c r="D10" s="7">
        <v>160</v>
      </c>
      <c r="E10" s="7">
        <v>187</v>
      </c>
      <c r="F10" s="7">
        <v>213</v>
      </c>
      <c r="G10" s="7">
        <v>240</v>
      </c>
      <c r="H10" s="7">
        <v>267</v>
      </c>
      <c r="I10" s="7">
        <v>293</v>
      </c>
      <c r="J10" s="8">
        <v>320</v>
      </c>
    </row>
    <row r="11" spans="1:10" x14ac:dyDescent="0.35">
      <c r="A11" s="5">
        <v>1800</v>
      </c>
      <c r="B11" s="7">
        <v>93</v>
      </c>
      <c r="C11" s="7">
        <v>117</v>
      </c>
      <c r="D11" s="7">
        <v>140</v>
      </c>
      <c r="E11" s="7">
        <v>163</v>
      </c>
      <c r="F11" s="7">
        <v>187</v>
      </c>
      <c r="G11" s="7">
        <v>210</v>
      </c>
      <c r="H11" s="7">
        <v>233</v>
      </c>
      <c r="I11" s="7">
        <v>257</v>
      </c>
      <c r="J11" s="8">
        <v>280</v>
      </c>
    </row>
    <row r="12" spans="1:10" x14ac:dyDescent="0.35">
      <c r="A12" s="5">
        <v>2000</v>
      </c>
      <c r="B12" s="7">
        <v>80</v>
      </c>
      <c r="C12" s="7">
        <v>100</v>
      </c>
      <c r="D12" s="7">
        <v>120</v>
      </c>
      <c r="E12" s="7">
        <v>140</v>
      </c>
      <c r="F12" s="7">
        <v>160</v>
      </c>
      <c r="G12" s="7">
        <v>180</v>
      </c>
      <c r="H12" s="7">
        <v>200</v>
      </c>
      <c r="I12" s="7">
        <v>220</v>
      </c>
      <c r="J12" s="8">
        <v>240</v>
      </c>
    </row>
    <row r="13" spans="1:10" x14ac:dyDescent="0.35">
      <c r="A13" s="5">
        <v>2200</v>
      </c>
      <c r="B13" s="7">
        <v>67</v>
      </c>
      <c r="C13" s="7">
        <v>8</v>
      </c>
      <c r="D13" s="7">
        <v>100</v>
      </c>
      <c r="E13" s="7">
        <v>117</v>
      </c>
      <c r="F13" s="7">
        <v>133</v>
      </c>
      <c r="G13" s="7">
        <v>150</v>
      </c>
      <c r="H13" s="7">
        <v>167</v>
      </c>
      <c r="I13" s="7">
        <v>183</v>
      </c>
      <c r="J13" s="8">
        <v>200</v>
      </c>
    </row>
    <row r="14" spans="1:10" x14ac:dyDescent="0.35">
      <c r="A14" s="5">
        <v>2400</v>
      </c>
      <c r="B14" s="7">
        <v>53</v>
      </c>
      <c r="C14" s="7">
        <v>67</v>
      </c>
      <c r="D14" s="7">
        <v>80</v>
      </c>
      <c r="E14" s="7">
        <v>93</v>
      </c>
      <c r="F14" s="7">
        <v>107</v>
      </c>
      <c r="G14" s="7">
        <v>120</v>
      </c>
      <c r="H14" s="7">
        <v>133</v>
      </c>
      <c r="I14" s="7">
        <v>147</v>
      </c>
      <c r="J14" s="8">
        <v>160</v>
      </c>
    </row>
    <row r="15" spans="1:10" x14ac:dyDescent="0.35">
      <c r="A15" s="5">
        <v>2600</v>
      </c>
      <c r="B15" s="7">
        <v>40</v>
      </c>
      <c r="C15" s="7">
        <v>50</v>
      </c>
      <c r="D15" s="7">
        <v>60</v>
      </c>
      <c r="E15" s="7">
        <v>70</v>
      </c>
      <c r="F15" s="7">
        <v>80</v>
      </c>
      <c r="G15" s="7">
        <v>90</v>
      </c>
      <c r="H15" s="7">
        <v>100</v>
      </c>
      <c r="I15" s="7">
        <v>110</v>
      </c>
      <c r="J15" s="8">
        <v>120</v>
      </c>
    </row>
    <row r="16" spans="1:10" x14ac:dyDescent="0.35">
      <c r="A16" s="5">
        <v>2800</v>
      </c>
      <c r="B16" s="7">
        <v>27</v>
      </c>
      <c r="C16" s="7">
        <v>33</v>
      </c>
      <c r="D16" s="7">
        <v>40</v>
      </c>
      <c r="E16" s="7">
        <v>47</v>
      </c>
      <c r="F16" s="7">
        <v>53</v>
      </c>
      <c r="G16" s="7">
        <v>60</v>
      </c>
      <c r="H16" s="7">
        <v>67</v>
      </c>
      <c r="I16" s="7">
        <v>73</v>
      </c>
      <c r="J16" s="8">
        <v>80</v>
      </c>
    </row>
    <row r="17" spans="1:10" x14ac:dyDescent="0.35">
      <c r="A17" s="5">
        <v>3000</v>
      </c>
      <c r="B17" s="7">
        <v>13</v>
      </c>
      <c r="C17" s="7">
        <v>17</v>
      </c>
      <c r="D17" s="7">
        <v>20</v>
      </c>
      <c r="E17" s="7">
        <v>23</v>
      </c>
      <c r="F17" s="7">
        <v>27</v>
      </c>
      <c r="G17" s="7">
        <v>30</v>
      </c>
      <c r="H17" s="7">
        <v>33</v>
      </c>
      <c r="I17" s="7">
        <v>37</v>
      </c>
      <c r="J17" s="8">
        <v>40</v>
      </c>
    </row>
    <row r="18" spans="1:10" x14ac:dyDescent="0.35">
      <c r="A18" s="6">
        <v>3200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10">
        <v>0</v>
      </c>
    </row>
    <row r="23" spans="1:10" x14ac:dyDescent="0.35">
      <c r="C23" s="1"/>
      <c r="D23" s="1"/>
    </row>
    <row r="24" spans="1:10" x14ac:dyDescent="0.35">
      <c r="B24" t="e">
        <f>MATCH('calculation sheet'!#REF!,A2:A18,1)</f>
        <v>#REF!</v>
      </c>
      <c r="C24" t="e">
        <f>MATCH('calculation sheet'!#REF!,'SALT CHART'!B1:J1,1)</f>
        <v>#REF!</v>
      </c>
    </row>
    <row r="25" spans="1:10" x14ac:dyDescent="0.35">
      <c r="C25" s="12"/>
      <c r="D25" s="1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Chemical Yields</vt:lpstr>
      <vt:lpstr>LSI</vt:lpstr>
      <vt:lpstr>Hazard Management</vt:lpstr>
      <vt:lpstr>calculation sheet</vt:lpstr>
      <vt:lpstr>Chlorine Conversion Chart</vt:lpstr>
      <vt:lpstr>SALT CHART</vt:lpstr>
      <vt:lpstr>'Chemical Yields'!Print_Area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scase</dc:creator>
  <cp:lastModifiedBy>tsmith</cp:lastModifiedBy>
  <cp:lastPrinted>2021-01-28T16:08:57Z</cp:lastPrinted>
  <dcterms:created xsi:type="dcterms:W3CDTF">2015-05-14T16:37:28Z</dcterms:created>
  <dcterms:modified xsi:type="dcterms:W3CDTF">2021-08-06T18:44:33Z</dcterms:modified>
</cp:coreProperties>
</file>